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d.docs.live.net/1faab1a3ad985ca1/OneDrive/Desktop/Fresnos/Info Proyecto/"/>
    </mc:Choice>
  </mc:AlternateContent>
  <xr:revisionPtr revIDLastSave="32" documentId="11_68124BC5044DBBFC4E49EBAE3C1EA339AB300459" xr6:coauthVersionLast="47" xr6:coauthVersionMax="47" xr10:uidLastSave="{E0945C77-688C-4FA1-B224-50FD7156F065}"/>
  <bookViews>
    <workbookView xWindow="-108" yWindow="-108" windowWidth="23256" windowHeight="12576" xr2:uid="{00000000-000D-0000-FFFF-FFFF00000000}"/>
  </bookViews>
  <sheets>
    <sheet name="Antecedentes" sheetId="1" r:id="rId1"/>
    <sheet name="Proyeccion dinero real" sheetId="3" r:id="rId2"/>
    <sheet name="VPN" sheetId="2" r:id="rId3"/>
    <sheet name="TIR" sheetId="4" r:id="rId4"/>
    <sheet name="Concentrado" sheetId="7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3" l="1"/>
  <c r="M13" i="3"/>
  <c r="M14" i="3"/>
  <c r="M15" i="3"/>
  <c r="M16" i="3"/>
  <c r="M17" i="3"/>
  <c r="E13" i="3"/>
  <c r="F21" i="2" l="1"/>
  <c r="B44" i="3" l="1"/>
  <c r="C44" i="3" s="1"/>
  <c r="D44" i="3" s="1"/>
  <c r="I44" i="3" s="1"/>
  <c r="I46" i="3" l="1"/>
  <c r="N44" i="3"/>
  <c r="P44" i="3" s="1"/>
  <c r="E14" i="3" l="1"/>
  <c r="E15" i="3"/>
  <c r="E16" i="3"/>
  <c r="E17" i="3"/>
  <c r="C9" i="4" l="1"/>
  <c r="D9" i="4" s="1"/>
  <c r="B9" i="4"/>
  <c r="C8" i="4"/>
  <c r="D8" i="4" s="1"/>
  <c r="B8" i="4"/>
  <c r="C7" i="4"/>
  <c r="B7" i="4"/>
  <c r="B3" i="4"/>
  <c r="B1" i="4"/>
  <c r="B20" i="2"/>
  <c r="B20" i="4" s="1"/>
  <c r="C9" i="2"/>
  <c r="D9" i="2" s="1"/>
  <c r="B9" i="2"/>
  <c r="C8" i="2"/>
  <c r="D8" i="2" s="1"/>
  <c r="B8" i="2"/>
  <c r="C7" i="2"/>
  <c r="D7" i="2" s="1"/>
  <c r="B7" i="2"/>
  <c r="B3" i="2"/>
  <c r="B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D22" i="2"/>
  <c r="G19" i="1"/>
  <c r="C9" i="3"/>
  <c r="C8" i="3"/>
  <c r="C7" i="3"/>
  <c r="B9" i="3"/>
  <c r="B8" i="3"/>
  <c r="B7" i="3"/>
  <c r="B3" i="3"/>
  <c r="B1" i="3"/>
  <c r="G11" i="1"/>
  <c r="G12" i="1"/>
  <c r="G10" i="1"/>
  <c r="G13" i="1" s="1"/>
  <c r="H13" i="1" s="1"/>
  <c r="B13" i="1"/>
  <c r="D7" i="4" l="1"/>
  <c r="D10" i="4" s="1"/>
  <c r="D10" i="2"/>
  <c r="D9" i="3"/>
  <c r="D7" i="3"/>
  <c r="D8" i="3"/>
  <c r="D10" i="3" l="1"/>
  <c r="D24" i="2" l="1"/>
  <c r="E24" i="2"/>
  <c r="F24" i="2"/>
  <c r="G24" i="2"/>
  <c r="B31" i="3" l="1"/>
  <c r="B33" i="3" s="1"/>
  <c r="C31" i="3" l="1"/>
  <c r="C33" i="3"/>
  <c r="D33" i="3" s="1"/>
  <c r="E33" i="3" s="1"/>
  <c r="F33" i="3" s="1"/>
  <c r="G33" i="3" s="1"/>
  <c r="H33" i="3" s="1"/>
  <c r="D31" i="3" l="1"/>
  <c r="E31" i="3" l="1"/>
  <c r="F31" i="3" l="1"/>
  <c r="H21" i="4" l="1"/>
  <c r="H24" i="2"/>
  <c r="G31" i="3"/>
  <c r="H31" i="3" l="1"/>
  <c r="I31" i="3" s="1"/>
  <c r="I33" i="3" s="1"/>
  <c r="I35" i="3" l="1"/>
  <c r="J31" i="3"/>
  <c r="K21" i="2" l="1"/>
  <c r="K21" i="4" s="1"/>
  <c r="I47" i="3"/>
  <c r="I48" i="3" s="1"/>
  <c r="J46" i="3" s="1"/>
  <c r="J33" i="3"/>
  <c r="J35" i="3" l="1"/>
  <c r="K33" i="3"/>
  <c r="K35" i="3" s="1"/>
  <c r="M21" i="2" l="1"/>
  <c r="K47" i="3"/>
  <c r="J47" i="3"/>
  <c r="J48" i="3" s="1"/>
  <c r="K46" i="3" s="1"/>
  <c r="K48" i="3" s="1"/>
  <c r="L46" i="3" s="1"/>
  <c r="L21" i="2"/>
  <c r="L31" i="3"/>
  <c r="L33" i="3" s="1"/>
  <c r="L35" i="3" s="1"/>
  <c r="N21" i="2" l="1"/>
  <c r="L47" i="3"/>
  <c r="L48" i="3" s="1"/>
  <c r="M46" i="3" s="1"/>
  <c r="M31" i="3"/>
  <c r="M33" i="3" s="1"/>
  <c r="M35" i="3" s="1"/>
  <c r="M47" i="3" l="1"/>
  <c r="O21" i="2"/>
  <c r="M48" i="3"/>
  <c r="N46" i="3" s="1"/>
  <c r="N33" i="3"/>
  <c r="N35" i="3" s="1"/>
  <c r="N47" i="3" l="1"/>
  <c r="P21" i="2"/>
  <c r="P21" i="4" s="1"/>
  <c r="O24" i="2"/>
  <c r="O21" i="4"/>
  <c r="O31" i="3"/>
  <c r="O33" i="3" s="1"/>
  <c r="O35" i="3" s="1"/>
  <c r="Q21" i="2" l="1"/>
  <c r="O47" i="3"/>
  <c r="N48" i="3"/>
  <c r="P31" i="3"/>
  <c r="P33" i="3" s="1"/>
  <c r="P35" i="3" s="1"/>
  <c r="R21" i="2" l="1"/>
  <c r="R21" i="4" s="1"/>
  <c r="P47" i="3"/>
  <c r="O46" i="3"/>
  <c r="O48" i="3"/>
  <c r="Q33" i="3"/>
  <c r="Q35" i="3" s="1"/>
  <c r="S21" i="2" l="1"/>
  <c r="Q47" i="3"/>
  <c r="P46" i="3"/>
  <c r="P48" i="3" s="1"/>
  <c r="P24" i="2"/>
  <c r="R31" i="3"/>
  <c r="Q24" i="2" l="1"/>
  <c r="Q21" i="4"/>
  <c r="Q46" i="3"/>
  <c r="Q48" i="3" s="1"/>
  <c r="R46" i="3" s="1"/>
  <c r="S24" i="2"/>
  <c r="R33" i="3"/>
  <c r="R35" i="3" s="1"/>
  <c r="S33" i="3"/>
  <c r="S35" i="3" s="1"/>
  <c r="U21" i="2" l="1"/>
  <c r="S47" i="3"/>
  <c r="R47" i="3"/>
  <c r="R48" i="3" s="1"/>
  <c r="S46" i="3" s="1"/>
  <c r="S48" i="3" s="1"/>
  <c r="T46" i="3" s="1"/>
  <c r="T21" i="2"/>
  <c r="R24" i="2"/>
  <c r="S21" i="4"/>
  <c r="I21" i="4"/>
  <c r="T33" i="3"/>
  <c r="T35" i="3" s="1"/>
  <c r="V21" i="2" l="1"/>
  <c r="T47" i="3"/>
  <c r="T48" i="3" s="1"/>
  <c r="U46" i="3" s="1"/>
  <c r="U24" i="2"/>
  <c r="T24" i="2"/>
  <c r="I24" i="2"/>
  <c r="U31" i="3"/>
  <c r="U33" i="3" s="1"/>
  <c r="U35" i="3" s="1"/>
  <c r="U47" i="3" l="1"/>
  <c r="W21" i="2"/>
  <c r="U21" i="4"/>
  <c r="T21" i="4"/>
  <c r="U48" i="3"/>
  <c r="V46" i="3" s="1"/>
  <c r="V24" i="2"/>
  <c r="V21" i="4"/>
  <c r="J21" i="4"/>
  <c r="J24" i="2"/>
  <c r="V31" i="3"/>
  <c r="V33" i="3" s="1"/>
  <c r="V35" i="3" s="1"/>
  <c r="V47" i="3" l="1"/>
  <c r="X21" i="2"/>
  <c r="V48" i="3"/>
  <c r="W46" i="3" s="1"/>
  <c r="W24" i="2"/>
  <c r="W21" i="4"/>
  <c r="K24" i="2"/>
  <c r="W33" i="3"/>
  <c r="W35" i="3" s="1"/>
  <c r="Y21" i="2" l="1"/>
  <c r="W47" i="3"/>
  <c r="X24" i="2"/>
  <c r="W48" i="3"/>
  <c r="X46" i="3" s="1"/>
  <c r="L21" i="4"/>
  <c r="L24" i="2"/>
  <c r="N21" i="4"/>
  <c r="X33" i="3"/>
  <c r="X35" i="3" s="1"/>
  <c r="Z21" i="2" l="1"/>
  <c r="X47" i="3"/>
  <c r="X21" i="4"/>
  <c r="X48" i="3"/>
  <c r="Y46" i="3" s="1"/>
  <c r="Y24" i="2"/>
  <c r="Y21" i="4"/>
  <c r="M21" i="4"/>
  <c r="M24" i="2"/>
  <c r="N24" i="2"/>
  <c r="Y33" i="3"/>
  <c r="Y35" i="3" s="1"/>
  <c r="Y47" i="3" l="1"/>
  <c r="AA21" i="2"/>
  <c r="Y48" i="3"/>
  <c r="Z24" i="2"/>
  <c r="Z21" i="4"/>
  <c r="AA24" i="2" l="1"/>
  <c r="AA21" i="4"/>
  <c r="C20" i="4" s="1"/>
  <c r="C23" i="4" l="1"/>
  <c r="C18" i="4"/>
  <c r="B6" i="7" s="1"/>
  <c r="C20" i="2"/>
  <c r="C5" i="7" s="1"/>
  <c r="B19" i="3"/>
  <c r="F14" i="3" l="1"/>
  <c r="F17" i="3"/>
  <c r="F16" i="3"/>
  <c r="F15" i="3"/>
  <c r="F13" i="3"/>
</calcChain>
</file>

<file path=xl/sharedStrings.xml><?xml version="1.0" encoding="utf-8"?>
<sst xmlns="http://schemas.openxmlformats.org/spreadsheetml/2006/main" count="228" uniqueCount="109">
  <si>
    <t xml:space="preserve">Inflación proyectada </t>
  </si>
  <si>
    <t>millones de pesos</t>
  </si>
  <si>
    <t>VPN</t>
  </si>
  <si>
    <t xml:space="preserve">Inversión inicial </t>
  </si>
  <si>
    <t>Flujo de efectivo</t>
  </si>
  <si>
    <t>Tasa de descuento</t>
  </si>
  <si>
    <t>Vida útil del proyecto</t>
  </si>
  <si>
    <t>Sumatoria en el tiempo</t>
  </si>
  <si>
    <t>Manera de Decisión</t>
  </si>
  <si>
    <t>1. Si el valor presente neto es positivo la tasa elegida generará Riquezas.</t>
  </si>
  <si>
    <t>2. Si el valor presente neto es igual a cero el proyecto no generará Riquezas ni perdidas, por lo que su realización resultará indiferente.</t>
  </si>
  <si>
    <t>3. Si el valor presente neto es negativo, el proyecto de inversión generará perdidas, por lo que deberá ser rechazado.</t>
  </si>
  <si>
    <t>Concepto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</si>
  <si>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</si>
  <si>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</si>
  <si>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</si>
  <si>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</si>
  <si>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</si>
  <si>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</si>
  <si>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</si>
  <si>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</si>
  <si>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</si>
  <si>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</si>
  <si>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</si>
  <si>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</si>
  <si>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 xml:space="preserve">Gastos de Operación </t>
  </si>
  <si>
    <t>Ingresos Totales</t>
  </si>
  <si>
    <t>Valor Presente Neto</t>
  </si>
  <si>
    <t>Inversión Inicial Previa</t>
  </si>
  <si>
    <t>Flujo de Efectivo en el tiempo</t>
  </si>
  <si>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es el numero de años del horizonte de evaluación menos uno( vida útil de proyecto) 30 años</t>
    </r>
  </si>
  <si>
    <t>La regla de decisión  es que si el valor presente neto es positivo entonces genera riqueza</t>
  </si>
  <si>
    <t>Fuente: Elaboración propia con información de trabajo de campo.</t>
  </si>
  <si>
    <t>CONCENTRADO DE LA EVALUACIÓN DE PROYECTO</t>
  </si>
  <si>
    <t>Porcentajes</t>
  </si>
  <si>
    <t>Millones</t>
  </si>
  <si>
    <t>Notas:</t>
  </si>
  <si>
    <t xml:space="preserve">El porcentaje es la división de el valor final entre el valor inicial </t>
  </si>
  <si>
    <t>1. EL VALOR PRESENTE NETO: Es el dinero en el futuro agregando una tasa de interés  del 10% y es la cantidad que se obtiene además de la inversión inicial</t>
  </si>
  <si>
    <t>2. TASA INTERNA DE RETORNO: Es la tasa de interés que genera de ganancia en aña con año en el periodo de inversión.</t>
  </si>
  <si>
    <t>3. RETORNO DE LA INVERSIÓN: Es la cantidad de dinero generada en el periodo de inversión y el porcentaje es una tasa de interés generada por la inversión año con año en el periodo de la inversión</t>
  </si>
  <si>
    <t xml:space="preserve">4. VALOR DE RESCATE: Es la cantidad de dinero que puedes obtener a la venta de tu negocio (inmueble) y se basa en la capacidad de generar riqueza durante el tiempo de inversión; el porcentaje </t>
  </si>
  <si>
    <t xml:space="preserve">    es una tasa de interés anual durante el tiempo de inversión dividida en el plazo de inversión (años)</t>
  </si>
  <si>
    <t>Tiempo y retorno de la inversión</t>
  </si>
  <si>
    <t>TIR Neta</t>
  </si>
  <si>
    <r>
      <t>7803.2 m</t>
    </r>
    <r>
      <rPr>
        <sz val="11"/>
        <color rgb="FF0070C0"/>
        <rFont val="Calibri"/>
        <family val="2"/>
      </rPr>
      <t>²</t>
    </r>
  </si>
  <si>
    <t>Valor del terreno</t>
  </si>
  <si>
    <t>50.3 mdp</t>
  </si>
  <si>
    <t>Propuesta: Aportación de Terreno</t>
  </si>
  <si>
    <t>Proporción de la sociedad</t>
  </si>
  <si>
    <t>Proyecto Rinconada de los Fresnos</t>
  </si>
  <si>
    <t>Caracteristicas del Proyecto</t>
  </si>
  <si>
    <t>Vanta de Lotes (Terrenos Urbanizados)</t>
  </si>
  <si>
    <t>Ventas</t>
  </si>
  <si>
    <t>Casas</t>
  </si>
  <si>
    <t>Duplex</t>
  </si>
  <si>
    <t>Precio</t>
  </si>
  <si>
    <t>Etapas</t>
  </si>
  <si>
    <t>PB</t>
  </si>
  <si>
    <t>PA</t>
  </si>
  <si>
    <r>
      <t>54 m</t>
    </r>
    <r>
      <rPr>
        <sz val="11"/>
        <color theme="1"/>
        <rFont val="Calibri"/>
        <family val="2"/>
      </rPr>
      <t>²</t>
    </r>
  </si>
  <si>
    <r>
      <t>47.61 m</t>
    </r>
    <r>
      <rPr>
        <sz val="11"/>
        <color theme="1"/>
        <rFont val="Calibri"/>
        <family val="2"/>
      </rPr>
      <t>²</t>
    </r>
  </si>
  <si>
    <t>Terreno</t>
  </si>
  <si>
    <t xml:space="preserve">Estapas de Venta </t>
  </si>
  <si>
    <t>Planta Alta</t>
  </si>
  <si>
    <t>Planta Baja</t>
  </si>
  <si>
    <t>Casa Completa</t>
  </si>
  <si>
    <t>Unidades</t>
  </si>
  <si>
    <t>Valor de Terreno</t>
  </si>
  <si>
    <t>Areas por Manzana</t>
  </si>
  <si>
    <t>Etapa 2</t>
  </si>
  <si>
    <t>Etapa 1</t>
  </si>
  <si>
    <t>M1</t>
  </si>
  <si>
    <t>M2</t>
  </si>
  <si>
    <t>M3</t>
  </si>
  <si>
    <t>M8</t>
  </si>
  <si>
    <t>M20</t>
  </si>
  <si>
    <t>Manzana</t>
  </si>
  <si>
    <t>Lotes</t>
  </si>
  <si>
    <r>
      <t>Superficie m</t>
    </r>
    <r>
      <rPr>
        <b/>
        <sz val="11"/>
        <color theme="1"/>
        <rFont val="Calibri"/>
        <family val="2"/>
      </rPr>
      <t>²</t>
    </r>
  </si>
  <si>
    <t>Ingresos</t>
  </si>
  <si>
    <r>
      <t>m</t>
    </r>
    <r>
      <rPr>
        <sz val="11"/>
        <color theme="1"/>
        <rFont val="Calibri"/>
        <family val="2"/>
      </rPr>
      <t>²</t>
    </r>
  </si>
  <si>
    <t>Ventas en el Tiempo</t>
  </si>
  <si>
    <t>Se estima una venta mensual de 6 Unidades por mes</t>
  </si>
  <si>
    <t>Ventas en unidades</t>
  </si>
  <si>
    <t>Egresos</t>
  </si>
  <si>
    <t>Venta Casas</t>
  </si>
  <si>
    <t>Superávit o Déficit</t>
  </si>
  <si>
    <t>Aportaciones</t>
  </si>
  <si>
    <t>Millones de pesos</t>
  </si>
  <si>
    <t>Valor del metro cuadrado</t>
  </si>
  <si>
    <t>6800+6%</t>
  </si>
  <si>
    <t>Inversión</t>
  </si>
  <si>
    <t>Ventas totales en Dinero</t>
  </si>
  <si>
    <t>Tercer predio mes 13 6.5%</t>
  </si>
  <si>
    <t>Primer Predio Mes 3 6%</t>
  </si>
  <si>
    <t>Segundo predio Mes 8 6%</t>
  </si>
  <si>
    <t>Cuarto predio mes 15 6%</t>
  </si>
  <si>
    <r>
      <t>6,800 m</t>
    </r>
    <r>
      <rPr>
        <sz val="11"/>
        <color theme="1"/>
        <rFont val="Calibri"/>
        <family val="2"/>
      </rPr>
      <t>²</t>
    </r>
  </si>
  <si>
    <r>
      <t>6000 m</t>
    </r>
    <r>
      <rPr>
        <sz val="11"/>
        <color theme="1"/>
        <rFont val="Calibri"/>
        <family val="2"/>
      </rPr>
      <t>²</t>
    </r>
  </si>
  <si>
    <r>
      <t>5400 m</t>
    </r>
    <r>
      <rPr>
        <sz val="11"/>
        <color theme="1"/>
        <rFont val="Calibri"/>
        <family val="2"/>
      </rPr>
      <t>²</t>
    </r>
  </si>
  <si>
    <t xml:space="preserve">Precio </t>
  </si>
  <si>
    <t>Recuperación</t>
  </si>
  <si>
    <t>Inversion Acumulada</t>
  </si>
  <si>
    <t>Correcion por excedente</t>
  </si>
  <si>
    <t xml:space="preserve">TIR ANUAL </t>
  </si>
  <si>
    <t>TIR MENSUAL</t>
  </si>
  <si>
    <t>precio aportado promedio TyA</t>
  </si>
  <si>
    <t>Aportación a Tierra y Armonina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</si>
</sst>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0_ ;\-0\ "/>
    <numFmt numFmtId="167" formatCode="_(* #,##0.00_);_(* \(#,##0.00\);_(* &quot;-&quot;??_);_(@_)"/>
    <numFmt numFmtId="168" formatCode="_(* #,##0_);_(* \(#,##0\);_(* &quot;-&quot;??_);_(@_)"/>
    <numFmt numFmtId="169" formatCode="_-* #,##0.000_-;\-* #,##0.000_-;_-* &quot;-&quot;??_-;_-@_-"/>
    <numFmt numFmtId="170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entury Gothic"/>
      <family val="2"/>
    </font>
    <font>
      <b/>
      <sz val="11"/>
      <color rgb="FF000000"/>
      <name val="Century Gothic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rgb="FF0070C0"/>
      <name val="Calibri"/>
      <family val="2"/>
    </font>
    <font>
      <b/>
      <sz val="14"/>
      <color theme="8" tint="-0.24997711111789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9" fontId="0" fillId="0" borderId="0" xfId="0" applyNumberFormat="1"/>
    <xf numFmtId="0" fontId="9" fillId="0" borderId="0" xfId="0" applyFont="1"/>
    <xf numFmtId="164" fontId="9" fillId="0" borderId="0" xfId="2" applyNumberFormat="1" applyFont="1"/>
    <xf numFmtId="43" fontId="0" fillId="0" borderId="0" xfId="1" applyFont="1"/>
    <xf numFmtId="9" fontId="2" fillId="0" borderId="0" xfId="0" applyNumberFormat="1" applyFont="1"/>
    <xf numFmtId="0" fontId="0" fillId="0" borderId="4" xfId="0" applyFont="1" applyBorder="1"/>
    <xf numFmtId="0" fontId="0" fillId="0" borderId="6" xfId="0" applyFont="1" applyBorder="1"/>
    <xf numFmtId="9" fontId="0" fillId="0" borderId="0" xfId="3" applyFont="1"/>
    <xf numFmtId="0" fontId="0" fillId="0" borderId="4" xfId="0" applyBorder="1"/>
    <xf numFmtId="0" fontId="0" fillId="0" borderId="6" xfId="0" applyBorder="1"/>
    <xf numFmtId="0" fontId="0" fillId="5" borderId="0" xfId="0" applyFill="1"/>
    <xf numFmtId="0" fontId="6" fillId="6" borderId="0" xfId="0" applyFont="1" applyFill="1"/>
    <xf numFmtId="9" fontId="6" fillId="6" borderId="0" xfId="3" applyFont="1" applyFill="1"/>
    <xf numFmtId="0" fontId="0" fillId="7" borderId="0" xfId="0" applyFill="1"/>
    <xf numFmtId="0" fontId="0" fillId="0" borderId="15" xfId="0" applyBorder="1"/>
    <xf numFmtId="166" fontId="0" fillId="0" borderId="15" xfId="1" applyNumberFormat="1" applyFont="1" applyBorder="1"/>
    <xf numFmtId="9" fontId="0" fillId="0" borderId="15" xfId="3" applyFont="1" applyBorder="1"/>
    <xf numFmtId="165" fontId="0" fillId="0" borderId="0" xfId="1" applyNumberFormat="1" applyFont="1" applyFill="1"/>
    <xf numFmtId="9" fontId="0" fillId="0" borderId="0" xfId="3" applyFont="1" applyFill="1"/>
    <xf numFmtId="0" fontId="3" fillId="0" borderId="0" xfId="0" applyFont="1" applyFill="1"/>
    <xf numFmtId="0" fontId="3" fillId="8" borderId="16" xfId="0" applyFont="1" applyFill="1" applyBorder="1" applyAlignment="1">
      <alignment horizontal="center"/>
    </xf>
    <xf numFmtId="0" fontId="3" fillId="0" borderId="10" xfId="0" applyFont="1" applyBorder="1"/>
    <xf numFmtId="0" fontId="3" fillId="0" borderId="0" xfId="0" applyFont="1" applyBorder="1"/>
    <xf numFmtId="0" fontId="8" fillId="3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Font="1" applyFill="1" applyBorder="1"/>
    <xf numFmtId="0" fontId="3" fillId="0" borderId="0" xfId="0" applyFont="1" applyFill="1" applyBorder="1"/>
    <xf numFmtId="0" fontId="8" fillId="0" borderId="9" xfId="0" applyFont="1" applyFill="1" applyBorder="1" applyAlignment="1">
      <alignment horizontal="left" wrapText="1"/>
    </xf>
    <xf numFmtId="0" fontId="0" fillId="0" borderId="10" xfId="0" applyBorder="1"/>
    <xf numFmtId="43" fontId="0" fillId="0" borderId="0" xfId="0" applyNumberFormat="1" applyBorder="1"/>
    <xf numFmtId="9" fontId="0" fillId="0" borderId="0" xfId="3" applyFont="1" applyBorder="1"/>
    <xf numFmtId="9" fontId="1" fillId="0" borderId="0" xfId="3" applyFont="1" applyFill="1" applyBorder="1"/>
    <xf numFmtId="43" fontId="0" fillId="0" borderId="0" xfId="1" applyFont="1" applyBorder="1"/>
    <xf numFmtId="0" fontId="7" fillId="2" borderId="0" xfId="0" applyFont="1" applyFill="1" applyBorder="1" applyAlignment="1">
      <alignment horizontal="left" wrapText="1"/>
    </xf>
    <xf numFmtId="0" fontId="0" fillId="2" borderId="0" xfId="0" applyFill="1"/>
    <xf numFmtId="0" fontId="3" fillId="0" borderId="0" xfId="0" applyFont="1" applyFill="1" applyAlignment="1">
      <alignment horizontal="center"/>
    </xf>
    <xf numFmtId="164" fontId="3" fillId="0" borderId="0" xfId="2" applyNumberFormat="1" applyFont="1" applyFill="1"/>
    <xf numFmtId="9" fontId="6" fillId="0" borderId="0" xfId="3" applyFont="1" applyFill="1"/>
    <xf numFmtId="0" fontId="0" fillId="9" borderId="0" xfId="0" applyFill="1"/>
    <xf numFmtId="165" fontId="0" fillId="9" borderId="0" xfId="1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/>
    <xf numFmtId="0" fontId="0" fillId="0" borderId="0" xfId="0" applyFill="1" applyBorder="1"/>
    <xf numFmtId="0" fontId="11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167" fontId="1" fillId="0" borderId="0" xfId="1" applyNumberFormat="1"/>
    <xf numFmtId="168" fontId="1" fillId="0" borderId="0" xfId="1" applyNumberFormat="1"/>
    <xf numFmtId="0" fontId="8" fillId="0" borderId="14" xfId="0" applyFont="1" applyBorder="1" applyAlignment="1">
      <alignment horizontal="left" wrapText="1"/>
    </xf>
    <xf numFmtId="43" fontId="0" fillId="0" borderId="0" xfId="0" applyNumberFormat="1" applyFill="1" applyBorder="1"/>
    <xf numFmtId="0" fontId="8" fillId="0" borderId="12" xfId="0" applyFont="1" applyBorder="1" applyAlignment="1">
      <alignment horizontal="left" wrapText="1"/>
    </xf>
    <xf numFmtId="168" fontId="1" fillId="0" borderId="19" xfId="1" applyNumberFormat="1" applyBorder="1"/>
    <xf numFmtId="167" fontId="1" fillId="0" borderId="19" xfId="1" applyNumberFormat="1" applyBorder="1"/>
    <xf numFmtId="10" fontId="0" fillId="0" borderId="0" xfId="3" applyNumberFormat="1" applyFont="1"/>
    <xf numFmtId="0" fontId="8" fillId="0" borderId="0" xfId="0" applyFont="1" applyFill="1" applyBorder="1" applyAlignment="1">
      <alignment horizontal="left" wrapText="1"/>
    </xf>
    <xf numFmtId="167" fontId="0" fillId="0" borderId="0" xfId="0" applyNumberFormat="1"/>
    <xf numFmtId="167" fontId="0" fillId="0" borderId="0" xfId="0" applyNumberFormat="1" applyFill="1"/>
    <xf numFmtId="9" fontId="6" fillId="0" borderId="0" xfId="0" applyNumberFormat="1" applyFont="1" applyFill="1"/>
    <xf numFmtId="0" fontId="0" fillId="0" borderId="2" xfId="0" applyBorder="1"/>
    <xf numFmtId="43" fontId="0" fillId="0" borderId="0" xfId="1" applyFont="1" applyFill="1"/>
    <xf numFmtId="43" fontId="0" fillId="0" borderId="5" xfId="1" applyFont="1" applyBorder="1"/>
    <xf numFmtId="0" fontId="0" fillId="0" borderId="7" xfId="0" applyBorder="1"/>
    <xf numFmtId="9" fontId="0" fillId="0" borderId="0" xfId="3" applyNumberFormat="1" applyFont="1"/>
    <xf numFmtId="165" fontId="0" fillId="0" borderId="0" xfId="1" applyNumberFormat="1" applyFont="1"/>
    <xf numFmtId="0" fontId="3" fillId="0" borderId="0" xfId="0" applyFont="1" applyFill="1" applyBorder="1" applyAlignment="1"/>
    <xf numFmtId="44" fontId="0" fillId="7" borderId="0" xfId="2" applyFont="1" applyFill="1"/>
    <xf numFmtId="44" fontId="3" fillId="3" borderId="0" xfId="0" applyNumberFormat="1" applyFont="1" applyFill="1"/>
    <xf numFmtId="44" fontId="0" fillId="0" borderId="11" xfId="2" applyFont="1" applyBorder="1"/>
    <xf numFmtId="0" fontId="3" fillId="8" borderId="1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left" wrapText="1"/>
    </xf>
    <xf numFmtId="44" fontId="3" fillId="3" borderId="11" xfId="0" applyNumberFormat="1" applyFont="1" applyFill="1" applyBorder="1"/>
    <xf numFmtId="0" fontId="0" fillId="0" borderId="5" xfId="0" applyBorder="1"/>
    <xf numFmtId="43" fontId="0" fillId="0" borderId="5" xfId="0" applyNumberFormat="1" applyBorder="1"/>
    <xf numFmtId="0" fontId="0" fillId="0" borderId="8" xfId="0" applyBorder="1"/>
    <xf numFmtId="0" fontId="13" fillId="0" borderId="24" xfId="0" applyFont="1" applyBorder="1"/>
    <xf numFmtId="0" fontId="15" fillId="0" borderId="25" xfId="0" applyFont="1" applyBorder="1"/>
    <xf numFmtId="0" fontId="15" fillId="0" borderId="1" xfId="0" applyFont="1" applyBorder="1"/>
    <xf numFmtId="44" fontId="15" fillId="0" borderId="26" xfId="2" applyFont="1" applyBorder="1"/>
    <xf numFmtId="0" fontId="16" fillId="0" borderId="0" xfId="0" applyFont="1" applyFill="1" applyBorder="1"/>
    <xf numFmtId="0" fontId="0" fillId="0" borderId="3" xfId="0" applyBorder="1"/>
    <xf numFmtId="0" fontId="13" fillId="10" borderId="23" xfId="0" applyFont="1" applyFill="1" applyBorder="1" applyAlignment="1">
      <alignment horizontal="center"/>
    </xf>
    <xf numFmtId="0" fontId="13" fillId="10" borderId="22" xfId="0" applyFont="1" applyFill="1" applyBorder="1" applyAlignment="1">
      <alignment horizontal="center"/>
    </xf>
    <xf numFmtId="0" fontId="0" fillId="0" borderId="1" xfId="0" applyBorder="1"/>
    <xf numFmtId="10" fontId="3" fillId="8" borderId="4" xfId="3" applyNumberFormat="1" applyFont="1" applyFill="1" applyBorder="1" applyAlignment="1">
      <alignment horizontal="center"/>
    </xf>
    <xf numFmtId="43" fontId="1" fillId="0" borderId="0" xfId="1" applyFont="1" applyFill="1" applyBorder="1"/>
    <xf numFmtId="43" fontId="0" fillId="0" borderId="8" xfId="1" applyFont="1" applyBorder="1"/>
    <xf numFmtId="167" fontId="1" fillId="0" borderId="0" xfId="1" applyNumberFormat="1" applyFill="1" applyBorder="1"/>
    <xf numFmtId="43" fontId="0" fillId="0" borderId="0" xfId="1" applyFont="1" applyFill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3" fontId="9" fillId="0" borderId="0" xfId="1" applyNumberFormat="1" applyFont="1"/>
    <xf numFmtId="0" fontId="4" fillId="0" borderId="0" xfId="0" applyFont="1" applyAlignment="1">
      <alignment horizontal="left" vertical="top" readingOrder="1"/>
    </xf>
    <xf numFmtId="10" fontId="9" fillId="0" borderId="0" xfId="3" applyNumberFormat="1" applyFont="1"/>
    <xf numFmtId="0" fontId="18" fillId="0" borderId="0" xfId="0" applyFo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4" fontId="0" fillId="0" borderId="0" xfId="2" applyFont="1" applyFill="1"/>
    <xf numFmtId="0" fontId="0" fillId="0" borderId="28" xfId="0" applyBorder="1"/>
    <xf numFmtId="0" fontId="5" fillId="0" borderId="9" xfId="0" applyFont="1" applyBorder="1" applyAlignment="1">
      <alignment horizontal="center" vertical="top" readingOrder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top" readingOrder="1"/>
    </xf>
    <xf numFmtId="164" fontId="0" fillId="0" borderId="0" xfId="2" applyNumberFormat="1" applyFont="1" applyBorder="1"/>
    <xf numFmtId="164" fontId="0" fillId="0" borderId="5" xfId="2" applyNumberFormat="1" applyFont="1" applyFill="1" applyBorder="1"/>
    <xf numFmtId="164" fontId="0" fillId="0" borderId="29" xfId="2" applyNumberFormat="1" applyFont="1" applyFill="1" applyBorder="1"/>
    <xf numFmtId="0" fontId="3" fillId="0" borderId="7" xfId="0" applyFont="1" applyBorder="1"/>
    <xf numFmtId="0" fontId="0" fillId="0" borderId="7" xfId="0" applyFill="1" applyBorder="1"/>
    <xf numFmtId="164" fontId="3" fillId="0" borderId="8" xfId="2" applyNumberFormat="1" applyFont="1" applyFill="1" applyBorder="1"/>
    <xf numFmtId="165" fontId="6" fillId="6" borderId="0" xfId="1" applyNumberFormat="1" applyFont="1" applyFill="1"/>
    <xf numFmtId="43" fontId="0" fillId="5" borderId="0" xfId="1" applyNumberFormat="1" applyFont="1" applyFill="1"/>
    <xf numFmtId="165" fontId="0" fillId="5" borderId="0" xfId="1" applyNumberFormat="1" applyFont="1" applyFill="1" applyAlignment="1">
      <alignment horizontal="right"/>
    </xf>
    <xf numFmtId="0" fontId="6" fillId="0" borderId="0" xfId="0" applyFont="1" applyFill="1"/>
    <xf numFmtId="17" fontId="6" fillId="0" borderId="0" xfId="0" applyNumberFormat="1" applyFont="1" applyFill="1"/>
    <xf numFmtId="170" fontId="1" fillId="0" borderId="0" xfId="3" applyNumberFormat="1"/>
    <xf numFmtId="10" fontId="1" fillId="0" borderId="0" xfId="3" applyNumberFormat="1"/>
    <xf numFmtId="0" fontId="3" fillId="0" borderId="16" xfId="0" applyFont="1" applyFill="1" applyBorder="1" applyAlignment="1">
      <alignment horizontal="center"/>
    </xf>
    <xf numFmtId="0" fontId="0" fillId="0" borderId="30" xfId="0" applyFont="1" applyFill="1" applyBorder="1"/>
    <xf numFmtId="0" fontId="10" fillId="4" borderId="2" xfId="0" applyFont="1" applyFill="1" applyBorder="1" applyAlignment="1"/>
    <xf numFmtId="169" fontId="0" fillId="0" borderId="0" xfId="1" applyNumberFormat="1" applyFont="1" applyFill="1" applyBorder="1"/>
    <xf numFmtId="0" fontId="12" fillId="0" borderId="0" xfId="0" applyFont="1" applyFill="1" applyBorder="1" applyAlignment="1">
      <alignment horizontal="center"/>
    </xf>
    <xf numFmtId="167" fontId="10" fillId="0" borderId="0" xfId="1" applyNumberFormat="1" applyFont="1" applyFill="1" applyBorder="1"/>
    <xf numFmtId="0" fontId="10" fillId="0" borderId="0" xfId="0" applyFont="1" applyFill="1" applyBorder="1" applyAlignment="1"/>
    <xf numFmtId="0" fontId="0" fillId="12" borderId="0" xfId="0" applyFill="1"/>
    <xf numFmtId="44" fontId="0" fillId="12" borderId="0" xfId="2" applyFont="1" applyFill="1"/>
    <xf numFmtId="164" fontId="0" fillId="7" borderId="0" xfId="2" applyNumberFormat="1" applyFont="1" applyFill="1"/>
    <xf numFmtId="164" fontId="3" fillId="7" borderId="0" xfId="2" applyNumberFormat="1" applyFont="1" applyFill="1"/>
    <xf numFmtId="164" fontId="0" fillId="7" borderId="31" xfId="2" applyNumberFormat="1" applyFont="1" applyFill="1" applyBorder="1"/>
    <xf numFmtId="0" fontId="0" fillId="0" borderId="0" xfId="0" applyAlignment="1">
      <alignment horizontal="right"/>
    </xf>
    <xf numFmtId="43" fontId="3" fillId="8" borderId="4" xfId="1" applyFont="1" applyFill="1" applyBorder="1" applyAlignment="1">
      <alignment horizontal="center"/>
    </xf>
    <xf numFmtId="44" fontId="0" fillId="0" borderId="10" xfId="2" applyNumberFormat="1" applyFont="1" applyBorder="1"/>
    <xf numFmtId="170" fontId="0" fillId="0" borderId="0" xfId="3" applyNumberFormat="1" applyFont="1" applyBorder="1"/>
    <xf numFmtId="43" fontId="0" fillId="0" borderId="9" xfId="1" applyFont="1" applyBorder="1"/>
    <xf numFmtId="43" fontId="0" fillId="0" borderId="10" xfId="1" applyFont="1" applyBorder="1"/>
    <xf numFmtId="43" fontId="0" fillId="0" borderId="11" xfId="1" applyFont="1" applyBorder="1"/>
    <xf numFmtId="170" fontId="0" fillId="0" borderId="4" xfId="3" applyNumberFormat="1" applyFont="1" applyBorder="1"/>
    <xf numFmtId="170" fontId="0" fillId="0" borderId="5" xfId="3" applyNumberFormat="1" applyFont="1" applyBorder="1"/>
    <xf numFmtId="44" fontId="0" fillId="0" borderId="4" xfId="0" applyNumberFormat="1" applyBorder="1"/>
    <xf numFmtId="0" fontId="13" fillId="0" borderId="20" xfId="0" applyFont="1" applyBorder="1"/>
    <xf numFmtId="10" fontId="15" fillId="0" borderId="21" xfId="0" applyNumberFormat="1" applyFont="1" applyBorder="1"/>
    <xf numFmtId="0" fontId="3" fillId="0" borderId="32" xfId="0" applyFont="1" applyFill="1" applyBorder="1" applyAlignment="1">
      <alignment horizontal="center"/>
    </xf>
    <xf numFmtId="43" fontId="0" fillId="0" borderId="17" xfId="0" applyNumberFormat="1" applyFill="1" applyBorder="1"/>
    <xf numFmtId="43" fontId="0" fillId="0" borderId="30" xfId="0" applyNumberFormat="1" applyFill="1" applyBorder="1"/>
    <xf numFmtId="0" fontId="3" fillId="0" borderId="1" xfId="0" applyFont="1" applyFill="1" applyBorder="1"/>
    <xf numFmtId="44" fontId="3" fillId="0" borderId="3" xfId="0" applyNumberFormat="1" applyFont="1" applyBorder="1"/>
    <xf numFmtId="0" fontId="3" fillId="0" borderId="6" xfId="0" applyFont="1" applyFill="1" applyBorder="1"/>
    <xf numFmtId="44" fontId="3" fillId="0" borderId="8" xfId="2" applyFont="1" applyFill="1" applyBorder="1"/>
    <xf numFmtId="44" fontId="0" fillId="9" borderId="0" xfId="0" applyNumberFormat="1" applyFill="1"/>
    <xf numFmtId="167" fontId="1" fillId="9" borderId="0" xfId="1" applyNumberFormat="1" applyFill="1"/>
    <xf numFmtId="44" fontId="0" fillId="13" borderId="0" xfId="0" applyNumberFormat="1" applyFill="1"/>
    <xf numFmtId="167" fontId="1" fillId="13" borderId="0" xfId="1" applyNumberFormat="1" applyFill="1"/>
    <xf numFmtId="44" fontId="0" fillId="14" borderId="0" xfId="0" applyNumberFormat="1" applyFill="1"/>
    <xf numFmtId="167" fontId="1" fillId="14" borderId="0" xfId="1" applyNumberFormat="1" applyFill="1"/>
    <xf numFmtId="167" fontId="1" fillId="15" borderId="0" xfId="1" applyNumberFormat="1" applyFill="1"/>
    <xf numFmtId="44" fontId="0" fillId="15" borderId="0" xfId="0" applyNumberFormat="1" applyFill="1"/>
    <xf numFmtId="43" fontId="0" fillId="0" borderId="0" xfId="1" applyFont="1" applyAlignment="1">
      <alignment horizontal="right"/>
    </xf>
    <xf numFmtId="167" fontId="1" fillId="0" borderId="0" xfId="1" applyNumberFormat="1" applyBorder="1"/>
    <xf numFmtId="43" fontId="0" fillId="0" borderId="4" xfId="1" applyFont="1" applyBorder="1"/>
    <xf numFmtId="0" fontId="15" fillId="0" borderId="27" xfId="0" applyFont="1" applyBorder="1"/>
    <xf numFmtId="10" fontId="0" fillId="0" borderId="0" xfId="0" applyNumberForma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4" fillId="11" borderId="1" xfId="0" applyFont="1" applyFill="1" applyBorder="1" applyAlignment="1">
      <alignment horizontal="center" vertical="center"/>
    </xf>
    <xf numFmtId="0" fontId="14" fillId="11" borderId="2" xfId="0" applyFont="1" applyFill="1" applyBorder="1" applyAlignment="1">
      <alignment horizontal="center" vertical="center"/>
    </xf>
    <xf numFmtId="0" fontId="14" fillId="11" borderId="3" xfId="0" applyFont="1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GALVAN.DIPE\Desktop\IPEJAL\Evaluaci&#243;n%20de%20proyectos\Proyecto%20Rinconada%20de%20Los%20Fresnos\TyA%20Investment%20-IPEJAL%20Rinconada%20del%20Fresno%20Flujos%20Nov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"/>
      <sheetName val="Investor Returns"/>
    </sheetNames>
    <sheetDataSet>
      <sheetData sheetId="0">
        <row r="10">
          <cell r="D10">
            <v>7655.100600533784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4"/>
  <sheetViews>
    <sheetView tabSelected="1" workbookViewId="0">
      <selection activeCell="A24" sqref="A24"/>
    </sheetView>
  </sheetViews>
  <sheetFormatPr baseColWidth="10" defaultRowHeight="14.4" x14ac:dyDescent="0.3"/>
  <cols>
    <col min="1" max="1" width="46.109375" style="1" customWidth="1"/>
    <col min="2" max="2" width="14" bestFit="1" customWidth="1"/>
    <col min="3" max="3" width="14.44140625" customWidth="1"/>
    <col min="4" max="4" width="16.6640625" customWidth="1"/>
    <col min="5" max="5" width="16.109375" customWidth="1"/>
    <col min="6" max="6" width="11.88671875" customWidth="1"/>
    <col min="7" max="7" width="15.6640625" bestFit="1" customWidth="1"/>
    <col min="8" max="8" width="15" customWidth="1"/>
  </cols>
  <sheetData>
    <row r="2" spans="1:9" ht="18" x14ac:dyDescent="0.35">
      <c r="A2" s="98" t="s">
        <v>50</v>
      </c>
    </row>
    <row r="4" spans="1:9" x14ac:dyDescent="0.3">
      <c r="A4" s="96" t="s">
        <v>48</v>
      </c>
      <c r="B4" s="95" t="s">
        <v>45</v>
      </c>
    </row>
    <row r="5" spans="1:9" x14ac:dyDescent="0.3">
      <c r="A5" s="96" t="s">
        <v>46</v>
      </c>
      <c r="B5" s="95" t="s">
        <v>47</v>
      </c>
      <c r="C5" s="8"/>
      <c r="F5" s="3"/>
      <c r="G5" s="3"/>
      <c r="H5" s="3"/>
      <c r="I5" s="3"/>
    </row>
    <row r="6" spans="1:9" x14ac:dyDescent="0.3">
      <c r="A6" s="96" t="s">
        <v>49</v>
      </c>
      <c r="B6" s="97">
        <v>0.32500000000000001</v>
      </c>
      <c r="C6" s="5"/>
      <c r="F6" s="3"/>
      <c r="G6" s="3"/>
      <c r="H6" s="3"/>
      <c r="I6" s="3"/>
    </row>
    <row r="7" spans="1:9" x14ac:dyDescent="0.3">
      <c r="A7" s="96" t="s">
        <v>51</v>
      </c>
      <c r="B7" s="97" t="s">
        <v>52</v>
      </c>
      <c r="C7" s="6"/>
      <c r="F7" s="3"/>
      <c r="G7" s="3"/>
      <c r="H7" s="3"/>
      <c r="I7" s="3"/>
    </row>
    <row r="8" spans="1:9" ht="15" thickBot="1" x14ac:dyDescent="0.35">
      <c r="F8" s="3"/>
      <c r="G8" s="3"/>
      <c r="H8" s="22"/>
      <c r="I8" s="3"/>
    </row>
    <row r="9" spans="1:9" ht="15" thickBot="1" x14ac:dyDescent="0.35">
      <c r="A9" s="104" t="s">
        <v>53</v>
      </c>
      <c r="B9" s="25"/>
      <c r="C9" s="93" t="s">
        <v>56</v>
      </c>
      <c r="D9" s="93"/>
      <c r="E9" s="93" t="s">
        <v>57</v>
      </c>
      <c r="F9" s="105"/>
      <c r="G9" s="106" t="s">
        <v>26</v>
      </c>
      <c r="H9" s="22"/>
      <c r="I9" s="3"/>
    </row>
    <row r="10" spans="1:9" x14ac:dyDescent="0.3">
      <c r="A10" s="107" t="s">
        <v>54</v>
      </c>
      <c r="B10" s="28">
        <v>59</v>
      </c>
      <c r="C10" s="108">
        <v>2206000</v>
      </c>
      <c r="D10" s="28"/>
      <c r="E10" s="28">
        <v>1</v>
      </c>
      <c r="F10" s="46" t="s">
        <v>60</v>
      </c>
      <c r="G10" s="109">
        <f>+C10*B10</f>
        <v>130154000</v>
      </c>
      <c r="H10" s="22"/>
      <c r="I10" s="3"/>
    </row>
    <row r="11" spans="1:9" x14ac:dyDescent="0.3">
      <c r="A11" s="107" t="s">
        <v>55</v>
      </c>
      <c r="B11" s="28">
        <v>38</v>
      </c>
      <c r="C11" s="108">
        <v>1131000</v>
      </c>
      <c r="D11" s="28" t="s">
        <v>58</v>
      </c>
      <c r="E11" s="28">
        <v>2</v>
      </c>
      <c r="F11" s="46" t="s">
        <v>60</v>
      </c>
      <c r="G11" s="109">
        <f>+C11*(B11/2)</f>
        <v>21489000</v>
      </c>
      <c r="H11" s="22"/>
      <c r="I11" s="3"/>
    </row>
    <row r="12" spans="1:9" x14ac:dyDescent="0.3">
      <c r="A12" s="9"/>
      <c r="B12" s="103"/>
      <c r="C12" s="108">
        <v>992000</v>
      </c>
      <c r="D12" s="28" t="s">
        <v>59</v>
      </c>
      <c r="E12" s="28"/>
      <c r="F12" s="46" t="s">
        <v>61</v>
      </c>
      <c r="G12" s="110">
        <f>+C12*(B11/2)</f>
        <v>18848000</v>
      </c>
      <c r="H12" s="22"/>
      <c r="I12" s="3"/>
    </row>
    <row r="13" spans="1:9" ht="15" thickBot="1" x14ac:dyDescent="0.35">
      <c r="A13" s="10"/>
      <c r="B13" s="111">
        <f>SUM(B10:B11)</f>
        <v>97</v>
      </c>
      <c r="C13" s="65"/>
      <c r="D13" s="65"/>
      <c r="E13" s="65"/>
      <c r="F13" s="112"/>
      <c r="G13" s="113">
        <f>SUM(G10:G12)</f>
        <v>170491000</v>
      </c>
      <c r="H13" s="63">
        <f>+G13*0.325</f>
        <v>55409575</v>
      </c>
      <c r="I13" s="3"/>
    </row>
    <row r="14" spans="1:9" x14ac:dyDescent="0.3">
      <c r="F14" s="3"/>
      <c r="G14" s="3"/>
      <c r="H14" s="22"/>
      <c r="I14" s="3"/>
    </row>
    <row r="15" spans="1:9" ht="15" thickBot="1" x14ac:dyDescent="0.35">
      <c r="F15" s="3"/>
      <c r="G15" s="3"/>
      <c r="H15" s="22"/>
      <c r="I15" s="3"/>
    </row>
    <row r="16" spans="1:9" ht="15" thickBot="1" x14ac:dyDescent="0.35">
      <c r="A16" s="92" t="s">
        <v>69</v>
      </c>
      <c r="B16" s="93" t="s">
        <v>77</v>
      </c>
      <c r="C16" s="93" t="s">
        <v>78</v>
      </c>
      <c r="D16" s="94" t="s">
        <v>79</v>
      </c>
      <c r="F16" s="3"/>
      <c r="G16" s="3"/>
      <c r="H16" s="22"/>
      <c r="I16" s="3"/>
    </row>
    <row r="17" spans="1:9" x14ac:dyDescent="0.3">
      <c r="A17" s="9" t="s">
        <v>70</v>
      </c>
      <c r="B17" s="28" t="s">
        <v>72</v>
      </c>
      <c r="C17" s="28">
        <v>9</v>
      </c>
      <c r="D17" s="64">
        <v>840.35</v>
      </c>
      <c r="F17" s="3"/>
      <c r="G17" s="3"/>
      <c r="H17" s="22"/>
      <c r="I17" s="3"/>
    </row>
    <row r="18" spans="1:9" x14ac:dyDescent="0.3">
      <c r="A18" s="9" t="s">
        <v>70</v>
      </c>
      <c r="B18" s="28" t="s">
        <v>73</v>
      </c>
      <c r="C18" s="28">
        <v>6</v>
      </c>
      <c r="D18" s="64">
        <v>591.04999999999995</v>
      </c>
      <c r="F18" s="3"/>
      <c r="G18" s="3">
        <v>596.05999999999995</v>
      </c>
      <c r="H18" s="22"/>
      <c r="I18" s="3"/>
    </row>
    <row r="19" spans="1:9" x14ac:dyDescent="0.3">
      <c r="A19" s="9" t="s">
        <v>70</v>
      </c>
      <c r="B19" s="28" t="s">
        <v>74</v>
      </c>
      <c r="C19" s="28">
        <v>4</v>
      </c>
      <c r="D19" s="64">
        <v>510.56</v>
      </c>
      <c r="G19">
        <f>7803/G18</f>
        <v>13.090963996913064</v>
      </c>
    </row>
    <row r="20" spans="1:9" x14ac:dyDescent="0.3">
      <c r="A20" s="9" t="s">
        <v>71</v>
      </c>
      <c r="B20" s="28" t="s">
        <v>75</v>
      </c>
      <c r="C20" s="28">
        <v>31</v>
      </c>
      <c r="D20" s="64">
        <v>3068.9</v>
      </c>
    </row>
    <row r="21" spans="1:9" ht="15" thickBot="1" x14ac:dyDescent="0.35">
      <c r="A21" s="10" t="s">
        <v>71</v>
      </c>
      <c r="B21" s="65" t="s">
        <v>76</v>
      </c>
      <c r="C21" s="65">
        <v>28</v>
      </c>
      <c r="D21" s="89">
        <v>2792.34</v>
      </c>
    </row>
    <row r="22" spans="1:9" ht="15" thickBot="1" x14ac:dyDescent="0.35"/>
    <row r="23" spans="1:9" x14ac:dyDescent="0.3">
      <c r="A23" s="121" t="s">
        <v>82</v>
      </c>
    </row>
    <row r="24" spans="1:9" ht="15" thickBot="1" x14ac:dyDescent="0.35">
      <c r="A24" s="122" t="s">
        <v>83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X63"/>
  <sheetViews>
    <sheetView zoomScale="80" zoomScaleNormal="80" workbookViewId="0">
      <selection activeCell="F21" sqref="F21"/>
    </sheetView>
  </sheetViews>
  <sheetFormatPr baseColWidth="10" defaultRowHeight="14.4" x14ac:dyDescent="0.3"/>
  <cols>
    <col min="1" max="1" width="40.109375" customWidth="1"/>
    <col min="2" max="2" width="17" customWidth="1"/>
    <col min="3" max="3" width="8.88671875" bestFit="1" customWidth="1"/>
    <col min="4" max="4" width="18.6640625" customWidth="1"/>
    <col min="5" max="5" width="17.5546875" customWidth="1"/>
    <col min="6" max="6" width="17" customWidth="1"/>
    <col min="7" max="7" width="7.33203125" customWidth="1"/>
    <col min="8" max="8" width="8" customWidth="1"/>
    <col min="9" max="9" width="8.6640625" customWidth="1"/>
    <col min="10" max="10" width="9.109375" bestFit="1" customWidth="1"/>
    <col min="11" max="12" width="10.6640625" customWidth="1"/>
    <col min="13" max="13" width="9.33203125" bestFit="1" customWidth="1"/>
    <col min="14" max="14" width="9.6640625" customWidth="1"/>
    <col min="15" max="15" width="9.33203125" bestFit="1" customWidth="1"/>
    <col min="16" max="16" width="10.33203125" customWidth="1"/>
    <col min="17" max="18" width="9.44140625" bestFit="1" customWidth="1"/>
    <col min="19" max="19" width="8.5546875" bestFit="1" customWidth="1"/>
    <col min="20" max="20" width="9" bestFit="1" customWidth="1"/>
    <col min="21" max="21" width="9.44140625" bestFit="1" customWidth="1"/>
    <col min="22" max="22" width="12.6640625" bestFit="1" customWidth="1"/>
    <col min="23" max="23" width="9.44140625" bestFit="1" customWidth="1"/>
    <col min="24" max="24" width="11.88671875" bestFit="1" customWidth="1"/>
    <col min="25" max="25" width="11.44140625" bestFit="1" customWidth="1"/>
    <col min="26" max="32" width="8.33203125" bestFit="1" customWidth="1"/>
    <col min="33" max="33" width="9.6640625" bestFit="1" customWidth="1"/>
    <col min="34" max="34" width="8.33203125" bestFit="1" customWidth="1"/>
    <col min="35" max="35" width="9.109375" bestFit="1" customWidth="1"/>
    <col min="36" max="36" width="8.6640625" bestFit="1" customWidth="1"/>
    <col min="37" max="56" width="8.6640625" customWidth="1"/>
    <col min="57" max="61" width="8.33203125" bestFit="1" customWidth="1"/>
    <col min="62" max="62" width="8.5546875" bestFit="1" customWidth="1"/>
    <col min="63" max="63" width="9.44140625" customWidth="1"/>
    <col min="64" max="65" width="9.33203125" bestFit="1" customWidth="1"/>
    <col min="66" max="66" width="9" bestFit="1" customWidth="1"/>
    <col min="67" max="67" width="9.33203125" bestFit="1" customWidth="1"/>
    <col min="68" max="74" width="9" bestFit="1" customWidth="1"/>
    <col min="75" max="75" width="9.33203125" bestFit="1" customWidth="1"/>
    <col min="76" max="82" width="9" bestFit="1" customWidth="1"/>
    <col min="83" max="83" width="10.44140625" customWidth="1"/>
    <col min="84" max="86" width="10.6640625" customWidth="1"/>
    <col min="87" max="88" width="9" bestFit="1" customWidth="1"/>
    <col min="89" max="95" width="10.5546875" bestFit="1" customWidth="1"/>
  </cols>
  <sheetData>
    <row r="1" spans="1:18" x14ac:dyDescent="0.3">
      <c r="A1" s="14" t="s">
        <v>62</v>
      </c>
      <c r="B1" s="116" t="str">
        <f>+Antecedentes!B4</f>
        <v>7803.2 m²</v>
      </c>
      <c r="C1" s="14"/>
      <c r="D1" s="3"/>
      <c r="E1" s="39"/>
    </row>
    <row r="2" spans="1:18" x14ac:dyDescent="0.3">
      <c r="A2" s="14" t="s">
        <v>68</v>
      </c>
      <c r="B2" s="115">
        <v>50.3</v>
      </c>
      <c r="C2" s="14" t="s">
        <v>35</v>
      </c>
      <c r="D2" s="3"/>
      <c r="E2" s="39"/>
    </row>
    <row r="3" spans="1:18" x14ac:dyDescent="0.3">
      <c r="A3" t="s">
        <v>54</v>
      </c>
      <c r="B3" s="67">
        <f>+Antecedentes!B10+Antecedentes!B11</f>
        <v>97</v>
      </c>
      <c r="C3" t="s">
        <v>81</v>
      </c>
      <c r="E3" s="40"/>
    </row>
    <row r="4" spans="1:18" x14ac:dyDescent="0.3">
      <c r="A4" s="15" t="s">
        <v>63</v>
      </c>
      <c r="B4" s="114">
        <v>2</v>
      </c>
      <c r="C4" s="16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11"/>
    </row>
    <row r="5" spans="1:18" x14ac:dyDescent="0.3">
      <c r="A5" s="117"/>
      <c r="B5" s="118"/>
      <c r="C5" s="41"/>
      <c r="D5" s="61"/>
      <c r="E5" s="7"/>
    </row>
    <row r="6" spans="1:18" x14ac:dyDescent="0.3">
      <c r="A6" s="39" t="s">
        <v>86</v>
      </c>
      <c r="B6" s="3"/>
      <c r="C6" s="39" t="s">
        <v>67</v>
      </c>
      <c r="D6" s="39" t="s">
        <v>80</v>
      </c>
    </row>
    <row r="7" spans="1:18" x14ac:dyDescent="0.3">
      <c r="A7" s="128" t="s">
        <v>64</v>
      </c>
      <c r="B7" s="129">
        <f>+Antecedentes!C12</f>
        <v>992000</v>
      </c>
      <c r="C7" s="128">
        <f>+Antecedentes!B11/2</f>
        <v>19</v>
      </c>
      <c r="D7" s="130">
        <f>+C7*B7</f>
        <v>18848000</v>
      </c>
    </row>
    <row r="8" spans="1:18" x14ac:dyDescent="0.3">
      <c r="A8" s="128" t="s">
        <v>65</v>
      </c>
      <c r="B8" s="129">
        <f>+Antecedentes!C11</f>
        <v>1131000</v>
      </c>
      <c r="C8" s="128">
        <f>+Antecedentes!B11/2</f>
        <v>19</v>
      </c>
      <c r="D8" s="130">
        <f t="shared" ref="D8:D9" si="0">+C8*B8</f>
        <v>21489000</v>
      </c>
    </row>
    <row r="9" spans="1:18" ht="15" thickBot="1" x14ac:dyDescent="0.35">
      <c r="A9" s="17" t="s">
        <v>66</v>
      </c>
      <c r="B9" s="69">
        <f>+Antecedentes!C10</f>
        <v>2206000</v>
      </c>
      <c r="C9" s="17">
        <f>+Antecedentes!B10</f>
        <v>59</v>
      </c>
      <c r="D9" s="132">
        <f t="shared" si="0"/>
        <v>130154000</v>
      </c>
      <c r="E9" s="3"/>
      <c r="F9" s="3"/>
    </row>
    <row r="10" spans="1:18" ht="15" thickTop="1" x14ac:dyDescent="0.3">
      <c r="A10" s="3"/>
      <c r="B10" s="102"/>
      <c r="C10" s="3"/>
      <c r="D10" s="131">
        <f>SUM(D7:D9)</f>
        <v>170491000</v>
      </c>
      <c r="E10" s="3"/>
      <c r="F10" s="3"/>
    </row>
    <row r="11" spans="1:18" ht="15" thickBot="1" x14ac:dyDescent="0.35">
      <c r="A11" s="3"/>
      <c r="B11" s="102"/>
      <c r="C11" s="3"/>
      <c r="D11" s="40"/>
      <c r="E11" s="3"/>
      <c r="F11" s="3"/>
    </row>
    <row r="12" spans="1:18" ht="15" thickBot="1" x14ac:dyDescent="0.35">
      <c r="A12" s="99" t="s">
        <v>69</v>
      </c>
      <c r="B12" s="100" t="s">
        <v>77</v>
      </c>
      <c r="C12" s="100" t="s">
        <v>78</v>
      </c>
      <c r="D12" s="101" t="s">
        <v>79</v>
      </c>
      <c r="E12" s="145" t="s">
        <v>88</v>
      </c>
      <c r="F12" s="3"/>
      <c r="L12" t="s">
        <v>101</v>
      </c>
    </row>
    <row r="13" spans="1:18" x14ac:dyDescent="0.3">
      <c r="A13" s="9" t="s">
        <v>70</v>
      </c>
      <c r="B13" s="28" t="s">
        <v>72</v>
      </c>
      <c r="C13" s="28">
        <v>9</v>
      </c>
      <c r="D13" s="64">
        <v>840.35</v>
      </c>
      <c r="E13" s="146">
        <f>+(50.3/7803.2)*D13</f>
        <v>5.4169577865491076</v>
      </c>
      <c r="F13" s="156">
        <f>+D13*$B$19</f>
        <v>6432963.789658566</v>
      </c>
      <c r="G13" t="s">
        <v>94</v>
      </c>
      <c r="K13" s="160">
        <v>817.67</v>
      </c>
      <c r="L13" s="133" t="s">
        <v>99</v>
      </c>
      <c r="M13" s="7">
        <f>+F13/D13</f>
        <v>7655.1006005337849</v>
      </c>
    </row>
    <row r="14" spans="1:18" x14ac:dyDescent="0.3">
      <c r="A14" s="9" t="s">
        <v>70</v>
      </c>
      <c r="B14" s="28" t="s">
        <v>73</v>
      </c>
      <c r="C14" s="28">
        <v>6</v>
      </c>
      <c r="D14" s="64">
        <v>591.04999999999995</v>
      </c>
      <c r="E14" s="146">
        <f t="shared" ref="E14:E17" si="1">+(50.3/7803.2)*D14</f>
        <v>3.8099516864875942</v>
      </c>
      <c r="F14" s="159">
        <f t="shared" ref="F14:F17" si="2">+D14*$B$19</f>
        <v>4524547.2099454924</v>
      </c>
      <c r="G14" s="168" t="s">
        <v>97</v>
      </c>
      <c r="H14" s="168"/>
      <c r="I14" s="168"/>
      <c r="K14" s="169">
        <v>1124.29</v>
      </c>
      <c r="L14" s="133" t="s">
        <v>100</v>
      </c>
      <c r="M14" s="7">
        <f t="shared" ref="M14:M17" si="3">+F14/D14</f>
        <v>7655.100600533784</v>
      </c>
    </row>
    <row r="15" spans="1:18" x14ac:dyDescent="0.3">
      <c r="A15" s="9" t="s">
        <v>70</v>
      </c>
      <c r="B15" s="28" t="s">
        <v>74</v>
      </c>
      <c r="C15" s="28">
        <v>4</v>
      </c>
      <c r="D15" s="64">
        <v>510.56</v>
      </c>
      <c r="E15" s="146">
        <f t="shared" si="1"/>
        <v>3.2911072380561821</v>
      </c>
      <c r="F15" s="159">
        <f t="shared" si="2"/>
        <v>3908388.162608529</v>
      </c>
      <c r="G15" s="168"/>
      <c r="H15" s="168"/>
      <c r="I15" s="168"/>
      <c r="K15" s="169"/>
      <c r="L15" s="133"/>
      <c r="M15" s="7">
        <f t="shared" si="3"/>
        <v>7655.100600533784</v>
      </c>
    </row>
    <row r="16" spans="1:18" x14ac:dyDescent="0.3">
      <c r="A16" s="9" t="s">
        <v>71</v>
      </c>
      <c r="B16" s="28" t="s">
        <v>75</v>
      </c>
      <c r="C16" s="28">
        <v>31</v>
      </c>
      <c r="D16" s="64">
        <v>3068.9</v>
      </c>
      <c r="E16" s="146">
        <f t="shared" si="1"/>
        <v>19.782354675005127</v>
      </c>
      <c r="F16" s="152">
        <f t="shared" si="2"/>
        <v>23492738.232978132</v>
      </c>
      <c r="G16" t="s">
        <v>95</v>
      </c>
      <c r="K16" s="160">
        <v>3079.63</v>
      </c>
      <c r="L16" s="133" t="s">
        <v>98</v>
      </c>
      <c r="M16" s="7">
        <f t="shared" si="3"/>
        <v>7655.100600533784</v>
      </c>
    </row>
    <row r="17" spans="1:102" ht="15" thickBot="1" x14ac:dyDescent="0.35">
      <c r="A17" s="10" t="s">
        <v>71</v>
      </c>
      <c r="B17" s="65" t="s">
        <v>76</v>
      </c>
      <c r="C17" s="65">
        <v>28</v>
      </c>
      <c r="D17" s="89">
        <v>2792.34</v>
      </c>
      <c r="E17" s="147">
        <f t="shared" si="1"/>
        <v>17.99962861390199</v>
      </c>
      <c r="F17" s="154">
        <f t="shared" si="2"/>
        <v>21375643.610894509</v>
      </c>
      <c r="G17" t="s">
        <v>96</v>
      </c>
      <c r="K17" s="160">
        <v>2781.61</v>
      </c>
      <c r="L17" s="133" t="s">
        <v>98</v>
      </c>
      <c r="M17" s="7">
        <f t="shared" si="3"/>
        <v>7655.100600533784</v>
      </c>
    </row>
    <row r="18" spans="1:102" ht="15" thickBot="1" x14ac:dyDescent="0.35">
      <c r="A18" s="3"/>
      <c r="B18" s="102"/>
      <c r="C18" s="3"/>
      <c r="D18" s="40"/>
      <c r="E18" s="3"/>
      <c r="F18" s="3"/>
    </row>
    <row r="19" spans="1:102" x14ac:dyDescent="0.3">
      <c r="A19" s="148" t="s">
        <v>108</v>
      </c>
      <c r="B19" s="149">
        <f>+[1]Mes!$D$10</f>
        <v>7655.100600533784</v>
      </c>
      <c r="C19" s="3" t="s">
        <v>91</v>
      </c>
      <c r="D19" s="40"/>
      <c r="E19" s="3"/>
      <c r="F19" s="3"/>
    </row>
    <row r="20" spans="1:102" ht="15" thickBot="1" x14ac:dyDescent="0.35">
      <c r="A20" s="150" t="s">
        <v>90</v>
      </c>
      <c r="B20" s="151">
        <f>50300000/7803.2</f>
        <v>6446.0734057822438</v>
      </c>
      <c r="C20" s="3" t="s">
        <v>107</v>
      </c>
      <c r="D20" s="40"/>
      <c r="E20" s="3"/>
      <c r="F20" s="3"/>
    </row>
    <row r="21" spans="1:102" x14ac:dyDescent="0.3">
      <c r="A21" s="3"/>
      <c r="B21" s="102"/>
      <c r="C21" s="3"/>
      <c r="D21" s="3"/>
      <c r="E21" s="3"/>
      <c r="F21" s="3"/>
    </row>
    <row r="22" spans="1:102" x14ac:dyDescent="0.3">
      <c r="A22" s="133" t="s">
        <v>0</v>
      </c>
      <c r="B22" s="18">
        <v>2020</v>
      </c>
      <c r="C22" s="19">
        <v>2021</v>
      </c>
      <c r="D22" s="18">
        <v>2022</v>
      </c>
    </row>
    <row r="23" spans="1:102" x14ac:dyDescent="0.3">
      <c r="B23" s="20">
        <v>0.04</v>
      </c>
      <c r="C23" s="20">
        <v>0.04</v>
      </c>
      <c r="D23" s="20">
        <v>0.04</v>
      </c>
    </row>
    <row r="24" spans="1:102" x14ac:dyDescent="0.3">
      <c r="C24" s="11"/>
      <c r="D24" s="11"/>
      <c r="AC24" s="23"/>
      <c r="AD24" s="23"/>
      <c r="AE24" s="23"/>
      <c r="AF24" s="23"/>
      <c r="AG24" s="2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N24" s="39"/>
      <c r="BO24" s="44"/>
      <c r="BP24" s="44"/>
    </row>
    <row r="25" spans="1:102" x14ac:dyDescent="0.3">
      <c r="A25" s="42" t="s">
        <v>89</v>
      </c>
      <c r="B25" s="43">
        <v>1000000</v>
      </c>
      <c r="C25" s="11"/>
      <c r="D25" s="11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23"/>
      <c r="BF25" s="3"/>
      <c r="BG25" s="3"/>
      <c r="BH25" s="3"/>
      <c r="BI25" s="3"/>
      <c r="BJ25" s="45"/>
      <c r="BK25" s="39"/>
      <c r="BL25" s="45"/>
      <c r="BM25" s="39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6"/>
      <c r="CJ25" s="46"/>
      <c r="CK25" s="46"/>
      <c r="CL25" s="46"/>
      <c r="CM25" s="46"/>
      <c r="CN25" s="46"/>
      <c r="CO25" s="46"/>
      <c r="CP25" s="46"/>
      <c r="CQ25" s="46"/>
      <c r="CR25" s="46"/>
    </row>
    <row r="26" spans="1:102" ht="15" thickBot="1" x14ac:dyDescent="0.35">
      <c r="B26" s="11"/>
      <c r="C26" s="11"/>
      <c r="D26" s="11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46"/>
      <c r="CJ26" s="46"/>
      <c r="CK26" s="46"/>
      <c r="CL26" s="46"/>
      <c r="CM26" s="46"/>
      <c r="CN26" s="46"/>
      <c r="CO26" s="46"/>
      <c r="CP26" s="46"/>
      <c r="CQ26" s="46"/>
      <c r="CR26" s="46"/>
    </row>
    <row r="27" spans="1:102" ht="15" thickBot="1" x14ac:dyDescent="0.35">
      <c r="B27" s="165">
        <v>2021</v>
      </c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7"/>
      <c r="N27" s="165">
        <v>2022</v>
      </c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7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28"/>
    </row>
    <row r="28" spans="1:102" x14ac:dyDescent="0.3">
      <c r="A28" s="47" t="s">
        <v>12</v>
      </c>
      <c r="B28" s="48" t="s">
        <v>17</v>
      </c>
      <c r="C28" s="48" t="s">
        <v>18</v>
      </c>
      <c r="D28" s="48" t="s">
        <v>19</v>
      </c>
      <c r="E28" s="48" t="s">
        <v>20</v>
      </c>
      <c r="F28" s="48" t="s">
        <v>21</v>
      </c>
      <c r="G28" s="48" t="s">
        <v>22</v>
      </c>
      <c r="H28" s="48" t="s">
        <v>23</v>
      </c>
      <c r="I28" s="48" t="s">
        <v>24</v>
      </c>
      <c r="J28" s="48" t="s">
        <v>13</v>
      </c>
      <c r="K28" s="48" t="s">
        <v>14</v>
      </c>
      <c r="L28" s="48" t="s">
        <v>15</v>
      </c>
      <c r="M28" s="48" t="s">
        <v>16</v>
      </c>
      <c r="N28" s="48" t="s">
        <v>17</v>
      </c>
      <c r="O28" s="48" t="s">
        <v>18</v>
      </c>
      <c r="P28" s="48" t="s">
        <v>19</v>
      </c>
      <c r="Q28" s="48" t="s">
        <v>20</v>
      </c>
      <c r="R28" s="48" t="s">
        <v>21</v>
      </c>
      <c r="S28" s="48" t="s">
        <v>22</v>
      </c>
      <c r="T28" s="48" t="s">
        <v>23</v>
      </c>
      <c r="U28" s="48" t="s">
        <v>24</v>
      </c>
      <c r="V28" s="48" t="s">
        <v>13</v>
      </c>
      <c r="W28" s="48" t="s">
        <v>14</v>
      </c>
      <c r="X28" s="48" t="s">
        <v>15</v>
      </c>
      <c r="Y28" s="48" t="s">
        <v>16</v>
      </c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28"/>
    </row>
    <row r="29" spans="1:102" x14ac:dyDescent="0.3">
      <c r="A29" s="49" t="s">
        <v>80</v>
      </c>
      <c r="B29" s="120">
        <v>0.33500000000000002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28"/>
    </row>
    <row r="30" spans="1:102" x14ac:dyDescent="0.3">
      <c r="A30" s="52"/>
      <c r="B30" s="51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28"/>
    </row>
    <row r="31" spans="1:102" x14ac:dyDescent="0.3">
      <c r="A31" s="52" t="s">
        <v>53</v>
      </c>
      <c r="B31" s="119">
        <f>SUM(B29:B30)</f>
        <v>0.33500000000000002</v>
      </c>
      <c r="C31" s="119">
        <f>+B31+C30</f>
        <v>0.33500000000000002</v>
      </c>
      <c r="D31" s="119">
        <f t="shared" ref="D31:M31" si="4">+C31+D30</f>
        <v>0.33500000000000002</v>
      </c>
      <c r="E31" s="119">
        <f t="shared" si="4"/>
        <v>0.33500000000000002</v>
      </c>
      <c r="F31" s="119">
        <f t="shared" si="4"/>
        <v>0.33500000000000002</v>
      </c>
      <c r="G31" s="119">
        <f t="shared" si="4"/>
        <v>0.33500000000000002</v>
      </c>
      <c r="H31" s="119">
        <f t="shared" si="4"/>
        <v>0.33500000000000002</v>
      </c>
      <c r="I31" s="119">
        <f>+H31+I30</f>
        <v>0.33500000000000002</v>
      </c>
      <c r="J31" s="119">
        <f t="shared" si="4"/>
        <v>0.33500000000000002</v>
      </c>
      <c r="K31" s="119">
        <v>0.33900000000000002</v>
      </c>
      <c r="L31" s="119">
        <f t="shared" si="4"/>
        <v>0.33900000000000002</v>
      </c>
      <c r="M31" s="119">
        <f t="shared" si="4"/>
        <v>0.33900000000000002</v>
      </c>
      <c r="N31" s="119">
        <v>0.34449999999999997</v>
      </c>
      <c r="O31" s="119">
        <f t="shared" ref="O31:V31" si="5">+N31+O30</f>
        <v>0.34449999999999997</v>
      </c>
      <c r="P31" s="119">
        <f t="shared" si="5"/>
        <v>0.34449999999999997</v>
      </c>
      <c r="Q31" s="119">
        <v>0.35</v>
      </c>
      <c r="R31" s="119">
        <f t="shared" si="5"/>
        <v>0.35</v>
      </c>
      <c r="S31" s="119">
        <v>0.33900000000000002</v>
      </c>
      <c r="T31" s="119">
        <v>0.34399999999999997</v>
      </c>
      <c r="U31" s="119">
        <f t="shared" si="5"/>
        <v>0.34399999999999997</v>
      </c>
      <c r="V31" s="119">
        <f t="shared" si="5"/>
        <v>0.34399999999999997</v>
      </c>
      <c r="W31" s="119">
        <v>0.34799999999999998</v>
      </c>
      <c r="X31" s="119">
        <v>0.34799999999999998</v>
      </c>
      <c r="Y31" s="119">
        <v>0.34699999999999998</v>
      </c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28"/>
    </row>
    <row r="32" spans="1:102" x14ac:dyDescent="0.3">
      <c r="A32" s="52" t="s">
        <v>84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153">
        <v>6</v>
      </c>
      <c r="J32" s="153">
        <v>6</v>
      </c>
      <c r="K32" s="153">
        <v>6</v>
      </c>
      <c r="L32" s="153">
        <v>6</v>
      </c>
      <c r="M32" s="153">
        <v>6</v>
      </c>
      <c r="N32" s="155">
        <v>6</v>
      </c>
      <c r="O32" s="155">
        <v>6</v>
      </c>
      <c r="P32" s="155">
        <v>6</v>
      </c>
      <c r="Q32" s="155">
        <v>6</v>
      </c>
      <c r="R32" s="155">
        <v>5</v>
      </c>
      <c r="S32" s="157">
        <v>6</v>
      </c>
      <c r="T32" s="157">
        <v>6</v>
      </c>
      <c r="U32" s="158">
        <v>6</v>
      </c>
      <c r="V32" s="158">
        <v>6</v>
      </c>
      <c r="W32" s="158">
        <v>6</v>
      </c>
      <c r="X32" s="158">
        <v>6</v>
      </c>
      <c r="Y32" s="158">
        <v>2</v>
      </c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28"/>
    </row>
    <row r="33" spans="1:102" x14ac:dyDescent="0.3">
      <c r="A33" s="52" t="s">
        <v>93</v>
      </c>
      <c r="B33" s="50">
        <f>+B32*B31</f>
        <v>0</v>
      </c>
      <c r="C33" s="50">
        <f>+B33*(1+(0.04/12))</f>
        <v>0</v>
      </c>
      <c r="D33" s="50">
        <f>+C33*(1+(0.04/12))</f>
        <v>0</v>
      </c>
      <c r="E33" s="50">
        <f t="shared" ref="E33:H33" si="6">+D33*(1+(0.04/12))</f>
        <v>0</v>
      </c>
      <c r="F33" s="50">
        <f t="shared" si="6"/>
        <v>0</v>
      </c>
      <c r="G33" s="50">
        <f t="shared" si="6"/>
        <v>0</v>
      </c>
      <c r="H33" s="50">
        <f t="shared" si="6"/>
        <v>0</v>
      </c>
      <c r="I33" s="50">
        <f>+(I31*I32*$B$9)/$B$25</f>
        <v>4.4340600000000006</v>
      </c>
      <c r="J33" s="50">
        <f t="shared" ref="J33:L33" si="7">+(J31*J32*$B$9)/$B$25</f>
        <v>4.4340600000000006</v>
      </c>
      <c r="K33" s="50">
        <f t="shared" si="7"/>
        <v>4.4870040000000007</v>
      </c>
      <c r="L33" s="50">
        <f t="shared" si="7"/>
        <v>4.4870040000000007</v>
      </c>
      <c r="M33" s="50">
        <f>+(M31*M32*$B$9)/$B$25</f>
        <v>4.4870040000000007</v>
      </c>
      <c r="N33" s="50">
        <f t="shared" ref="N33" si="8">+(N31*N32*$B$9)/$B$25</f>
        <v>4.5598019999999995</v>
      </c>
      <c r="O33" s="50">
        <f t="shared" ref="O33" si="9">+(O31*O32*$B$9)/$B$25</f>
        <v>4.5598019999999995</v>
      </c>
      <c r="P33" s="50">
        <f t="shared" ref="P33:R33" si="10">+(P31*P32*$B$9)/$B$25</f>
        <v>4.5598019999999995</v>
      </c>
      <c r="Q33" s="50">
        <f t="shared" si="10"/>
        <v>4.6325999999999992</v>
      </c>
      <c r="R33" s="50">
        <f t="shared" si="10"/>
        <v>3.8605</v>
      </c>
      <c r="S33" s="50">
        <f>+((S31*S32)*(($B$7+$B$8)/2))/$B$25</f>
        <v>2.1590910000000005</v>
      </c>
      <c r="T33" s="50">
        <f t="shared" ref="T33:Y33" si="11">+((T31*T32)*(($B$7+$B$8)/2))/$B$25</f>
        <v>2.1909360000000002</v>
      </c>
      <c r="U33" s="50">
        <f t="shared" si="11"/>
        <v>2.1909360000000002</v>
      </c>
      <c r="V33" s="50">
        <f t="shared" si="11"/>
        <v>2.1909360000000002</v>
      </c>
      <c r="W33" s="50">
        <f t="shared" si="11"/>
        <v>2.216412</v>
      </c>
      <c r="X33" s="50">
        <f t="shared" si="11"/>
        <v>2.216412</v>
      </c>
      <c r="Y33" s="50">
        <f t="shared" si="11"/>
        <v>0.73668100000000003</v>
      </c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28"/>
    </row>
    <row r="34" spans="1:102" x14ac:dyDescent="0.3">
      <c r="A34" s="52" t="s">
        <v>104</v>
      </c>
      <c r="B34" s="50"/>
      <c r="C34" s="50"/>
      <c r="D34" s="50"/>
      <c r="E34" s="50"/>
      <c r="F34" s="50"/>
      <c r="G34" s="50"/>
      <c r="H34" s="50"/>
      <c r="I34" s="50">
        <v>0.13</v>
      </c>
      <c r="J34" s="50">
        <v>0.13</v>
      </c>
      <c r="K34" s="50">
        <v>0.13</v>
      </c>
      <c r="L34" s="50">
        <v>0.13</v>
      </c>
      <c r="M34" s="50">
        <v>0.13</v>
      </c>
      <c r="N34" s="50">
        <v>0.14000000000000001</v>
      </c>
      <c r="O34" s="50">
        <v>0.14000000000000001</v>
      </c>
      <c r="P34" s="50">
        <v>0.14000000000000001</v>
      </c>
      <c r="Q34" s="50">
        <v>0.15</v>
      </c>
      <c r="R34" s="50">
        <v>0.12</v>
      </c>
      <c r="S34" s="50"/>
      <c r="T34" s="50"/>
      <c r="U34" s="50"/>
      <c r="V34" s="50"/>
      <c r="W34" s="50"/>
      <c r="X34" s="50"/>
      <c r="Y34" s="5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126"/>
      <c r="BB34" s="90"/>
      <c r="BC34" s="90"/>
      <c r="BD34" s="90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28"/>
    </row>
    <row r="35" spans="1:102" x14ac:dyDescent="0.3">
      <c r="A35" s="52"/>
      <c r="B35" s="50"/>
      <c r="C35" s="50"/>
      <c r="D35" s="50"/>
      <c r="E35" s="50"/>
      <c r="F35" s="50"/>
      <c r="G35" s="50"/>
      <c r="H35" s="50"/>
      <c r="I35" s="50">
        <f>SUM(I33:I34)</f>
        <v>4.5640600000000004</v>
      </c>
      <c r="J35" s="50">
        <f t="shared" ref="J35:Y35" si="12">SUM(J33:J34)</f>
        <v>4.5640600000000004</v>
      </c>
      <c r="K35" s="50">
        <f t="shared" si="12"/>
        <v>4.6170040000000006</v>
      </c>
      <c r="L35" s="50">
        <f t="shared" si="12"/>
        <v>4.6170040000000006</v>
      </c>
      <c r="M35" s="50">
        <f t="shared" si="12"/>
        <v>4.6170040000000006</v>
      </c>
      <c r="N35" s="50">
        <f t="shared" si="12"/>
        <v>4.6998019999999991</v>
      </c>
      <c r="O35" s="50">
        <f t="shared" si="12"/>
        <v>4.6998019999999991</v>
      </c>
      <c r="P35" s="50">
        <f t="shared" si="12"/>
        <v>4.6998019999999991</v>
      </c>
      <c r="Q35" s="50">
        <f t="shared" si="12"/>
        <v>4.7825999999999995</v>
      </c>
      <c r="R35" s="50">
        <f t="shared" si="12"/>
        <v>3.9805000000000001</v>
      </c>
      <c r="S35" s="50">
        <f t="shared" si="12"/>
        <v>2.1590910000000005</v>
      </c>
      <c r="T35" s="50">
        <f t="shared" si="12"/>
        <v>2.1909360000000002</v>
      </c>
      <c r="U35" s="50">
        <f t="shared" si="12"/>
        <v>2.1909360000000002</v>
      </c>
      <c r="V35" s="50">
        <f t="shared" si="12"/>
        <v>2.1909360000000002</v>
      </c>
      <c r="W35" s="50">
        <f t="shared" si="12"/>
        <v>2.216412</v>
      </c>
      <c r="X35" s="50">
        <f t="shared" si="12"/>
        <v>2.216412</v>
      </c>
      <c r="Y35" s="50">
        <f t="shared" si="12"/>
        <v>0.73668100000000003</v>
      </c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28"/>
    </row>
    <row r="36" spans="1:102" x14ac:dyDescent="0.3">
      <c r="A36" s="52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28"/>
    </row>
    <row r="37" spans="1:102" x14ac:dyDescent="0.3">
      <c r="A37" s="52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28"/>
    </row>
    <row r="38" spans="1:102" x14ac:dyDescent="0.3">
      <c r="A38" s="52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28"/>
    </row>
    <row r="39" spans="1:102" x14ac:dyDescent="0.3">
      <c r="A39" s="52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28"/>
    </row>
    <row r="40" spans="1:102" x14ac:dyDescent="0.3">
      <c r="A40" s="52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28"/>
    </row>
    <row r="41" spans="1:102" x14ac:dyDescent="0.3">
      <c r="A41" s="52" t="s">
        <v>85</v>
      </c>
      <c r="B41" s="51">
        <v>0</v>
      </c>
      <c r="C41" s="50">
        <v>0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28"/>
    </row>
    <row r="42" spans="1:102" x14ac:dyDescent="0.3">
      <c r="A42" s="52" t="s">
        <v>25</v>
      </c>
      <c r="B42" s="51"/>
      <c r="C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28"/>
    </row>
    <row r="43" spans="1:102" x14ac:dyDescent="0.3">
      <c r="A43" s="52" t="s">
        <v>92</v>
      </c>
      <c r="B43" s="51"/>
      <c r="C43" s="50"/>
      <c r="D43" s="50">
        <v>-21.257211000000002</v>
      </c>
      <c r="E43" s="50"/>
      <c r="F43" s="50"/>
      <c r="G43" s="50"/>
      <c r="H43" s="50"/>
      <c r="I43" s="50">
        <v>-19.684889999999999</v>
      </c>
      <c r="J43" s="50"/>
      <c r="K43" s="50"/>
      <c r="L43" s="50"/>
      <c r="M43" s="50"/>
      <c r="N43" s="50">
        <v>-5.2629219999999997</v>
      </c>
      <c r="P43">
        <v>-6.54</v>
      </c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28"/>
    </row>
    <row r="44" spans="1:102" x14ac:dyDescent="0.3">
      <c r="A44" s="52" t="s">
        <v>103</v>
      </c>
      <c r="B44" s="51">
        <f>+B43</f>
        <v>0</v>
      </c>
      <c r="C44" s="50">
        <f>+C43+B44</f>
        <v>0</v>
      </c>
      <c r="D44" s="50">
        <f t="shared" ref="D44" si="13">+D43+C44</f>
        <v>-21.257211000000002</v>
      </c>
      <c r="E44" s="50"/>
      <c r="F44" s="50"/>
      <c r="G44" s="50"/>
      <c r="H44" s="50"/>
      <c r="I44" s="50">
        <f>+I43+D44</f>
        <v>-40.942101000000001</v>
      </c>
      <c r="J44" s="50"/>
      <c r="K44" s="50"/>
      <c r="L44" s="50"/>
      <c r="M44" s="50"/>
      <c r="N44" s="50">
        <f>+N43+I44</f>
        <v>-46.205022999999997</v>
      </c>
      <c r="O44" s="50"/>
      <c r="P44" s="50">
        <f>+P43+N44</f>
        <v>-52.745022999999996</v>
      </c>
      <c r="Q44" s="50"/>
      <c r="R44" s="50"/>
      <c r="S44" s="50"/>
      <c r="T44" s="50"/>
      <c r="U44" s="50"/>
      <c r="V44" s="50"/>
      <c r="W44" s="50"/>
      <c r="X44" s="50"/>
      <c r="Y44" s="50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28"/>
    </row>
    <row r="45" spans="1:102" x14ac:dyDescent="0.3">
      <c r="A45" s="52"/>
      <c r="B45" s="51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28"/>
    </row>
    <row r="46" spans="1:102" x14ac:dyDescent="0.3">
      <c r="A46" s="52" t="s">
        <v>102</v>
      </c>
      <c r="B46" s="51"/>
      <c r="C46" s="50"/>
      <c r="D46" s="50"/>
      <c r="E46" s="50"/>
      <c r="F46" s="50"/>
      <c r="G46" s="50"/>
      <c r="H46" s="50"/>
      <c r="I46" s="50">
        <f>+I44</f>
        <v>-40.942101000000001</v>
      </c>
      <c r="J46" s="50">
        <f>+I48</f>
        <v>-36.378041000000003</v>
      </c>
      <c r="K46" s="50">
        <f t="shared" ref="K46:M46" si="14">+J48</f>
        <v>-31.813981000000002</v>
      </c>
      <c r="L46" s="50">
        <f t="shared" si="14"/>
        <v>-27.196977</v>
      </c>
      <c r="M46" s="50">
        <f t="shared" si="14"/>
        <v>-22.579972999999999</v>
      </c>
      <c r="N46" s="50">
        <f>+M48+N43</f>
        <v>-23.225890999999997</v>
      </c>
      <c r="O46" s="59">
        <f>+N48</f>
        <v>-18.526088999999999</v>
      </c>
      <c r="P46" s="59">
        <f>+O48+P43</f>
        <v>-20.366287</v>
      </c>
      <c r="Q46" s="59">
        <f>+P48</f>
        <v>-15.666485000000002</v>
      </c>
      <c r="R46" s="59">
        <f>+Q48</f>
        <v>-10.883885000000003</v>
      </c>
      <c r="S46" s="59">
        <f t="shared" ref="S46:U46" si="15">+R48</f>
        <v>-6.9033850000000028</v>
      </c>
      <c r="T46" s="59">
        <f t="shared" si="15"/>
        <v>-4.7442940000000018</v>
      </c>
      <c r="U46" s="59">
        <f t="shared" si="15"/>
        <v>-2.5533580000000016</v>
      </c>
      <c r="V46" s="59">
        <f>+U48</f>
        <v>-0.36242200000000135</v>
      </c>
      <c r="W46" s="59">
        <f t="shared" ref="W46:Y46" si="16">+V48</f>
        <v>1.8285139999999989</v>
      </c>
      <c r="X46" s="59">
        <f t="shared" si="16"/>
        <v>4.0449259999999985</v>
      </c>
      <c r="Y46" s="59">
        <f t="shared" si="16"/>
        <v>6.2613379999999985</v>
      </c>
      <c r="Z46" s="59"/>
      <c r="AA46" s="59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28"/>
    </row>
    <row r="47" spans="1:102" x14ac:dyDescent="0.3">
      <c r="A47" s="52"/>
      <c r="B47" s="51"/>
      <c r="C47" s="50"/>
      <c r="D47" s="50"/>
      <c r="E47" s="50"/>
      <c r="F47" s="50"/>
      <c r="G47" s="50"/>
      <c r="H47" s="50"/>
      <c r="I47" s="50">
        <f>+I35</f>
        <v>4.5640600000000004</v>
      </c>
      <c r="J47" s="50">
        <f t="shared" ref="J47:Y47" si="17">+J35</f>
        <v>4.5640600000000004</v>
      </c>
      <c r="K47" s="50">
        <f t="shared" si="17"/>
        <v>4.6170040000000006</v>
      </c>
      <c r="L47" s="50">
        <f t="shared" si="17"/>
        <v>4.6170040000000006</v>
      </c>
      <c r="M47" s="50">
        <f t="shared" si="17"/>
        <v>4.6170040000000006</v>
      </c>
      <c r="N47" s="50">
        <f t="shared" si="17"/>
        <v>4.6998019999999991</v>
      </c>
      <c r="O47" s="50">
        <f t="shared" si="17"/>
        <v>4.6998019999999991</v>
      </c>
      <c r="P47" s="50">
        <f t="shared" si="17"/>
        <v>4.6998019999999991</v>
      </c>
      <c r="Q47" s="50">
        <f t="shared" si="17"/>
        <v>4.7825999999999995</v>
      </c>
      <c r="R47" s="50">
        <f t="shared" si="17"/>
        <v>3.9805000000000001</v>
      </c>
      <c r="S47" s="50">
        <f t="shared" si="17"/>
        <v>2.1590910000000005</v>
      </c>
      <c r="T47" s="50">
        <f t="shared" si="17"/>
        <v>2.1909360000000002</v>
      </c>
      <c r="U47" s="50">
        <f t="shared" si="17"/>
        <v>2.1909360000000002</v>
      </c>
      <c r="V47" s="50">
        <f t="shared" si="17"/>
        <v>2.1909360000000002</v>
      </c>
      <c r="W47" s="50">
        <f t="shared" si="17"/>
        <v>2.216412</v>
      </c>
      <c r="X47" s="50">
        <f t="shared" si="17"/>
        <v>2.216412</v>
      </c>
      <c r="Y47" s="50">
        <f t="shared" si="17"/>
        <v>0.73668100000000003</v>
      </c>
      <c r="Z47" s="50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28"/>
    </row>
    <row r="48" spans="1:102" ht="15" thickBot="1" x14ac:dyDescent="0.35">
      <c r="A48" s="54" t="s">
        <v>87</v>
      </c>
      <c r="B48" s="55"/>
      <c r="C48" s="56"/>
      <c r="D48" s="56"/>
      <c r="E48" s="56"/>
      <c r="F48" s="56"/>
      <c r="G48" s="56"/>
      <c r="H48" s="56"/>
      <c r="I48" s="56">
        <f>+I46+I47</f>
        <v>-36.378041000000003</v>
      </c>
      <c r="J48" s="56">
        <f>+J46+J47</f>
        <v>-31.813981000000002</v>
      </c>
      <c r="K48" s="56">
        <f t="shared" ref="K48:N48" si="18">+K46+K47</f>
        <v>-27.196977</v>
      </c>
      <c r="L48" s="56">
        <f t="shared" si="18"/>
        <v>-22.579972999999999</v>
      </c>
      <c r="M48" s="56">
        <f t="shared" si="18"/>
        <v>-17.962968999999998</v>
      </c>
      <c r="N48" s="56">
        <f t="shared" si="18"/>
        <v>-18.526088999999999</v>
      </c>
      <c r="O48" s="56">
        <f>+O47+N48</f>
        <v>-13.826287000000001</v>
      </c>
      <c r="P48" s="56">
        <f>+P46+P47</f>
        <v>-15.666485000000002</v>
      </c>
      <c r="Q48" s="56">
        <f t="shared" ref="Q48:T48" si="19">+Q46+Q47</f>
        <v>-10.883885000000003</v>
      </c>
      <c r="R48" s="56">
        <f t="shared" si="19"/>
        <v>-6.9033850000000028</v>
      </c>
      <c r="S48" s="56">
        <f t="shared" si="19"/>
        <v>-4.7442940000000018</v>
      </c>
      <c r="T48" s="56">
        <f t="shared" si="19"/>
        <v>-2.5533580000000016</v>
      </c>
      <c r="U48" s="56">
        <f>+U46+U47</f>
        <v>-0.36242200000000135</v>
      </c>
      <c r="V48" s="56">
        <f>+V46+V47</f>
        <v>1.8285139999999989</v>
      </c>
      <c r="W48" s="56">
        <f>+W46+W47</f>
        <v>4.0449259999999985</v>
      </c>
      <c r="X48" s="56">
        <f>+X46+X47</f>
        <v>6.2613379999999985</v>
      </c>
      <c r="Y48" s="56">
        <f>+Y46+Y47</f>
        <v>6.9980189999999984</v>
      </c>
      <c r="Z48" s="161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28"/>
    </row>
    <row r="49" spans="1:101" x14ac:dyDescent="0.3">
      <c r="B49" s="123" t="s">
        <v>43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27"/>
      <c r="BN49" s="127"/>
      <c r="BO49" s="127"/>
      <c r="BP49" s="127"/>
      <c r="BQ49" s="127"/>
      <c r="BR49" s="127"/>
      <c r="BS49" s="127"/>
      <c r="BT49" s="127"/>
      <c r="BU49" s="127"/>
      <c r="BV49" s="127"/>
      <c r="BW49" s="127"/>
      <c r="BX49" s="127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46"/>
      <c r="CQ49" s="46"/>
      <c r="CR49" s="46"/>
      <c r="CS49" s="46"/>
      <c r="CT49" s="46"/>
      <c r="CU49" s="46"/>
      <c r="CV49" s="46"/>
      <c r="CW49" s="46"/>
    </row>
    <row r="50" spans="1:101" x14ac:dyDescent="0.3">
      <c r="A50" s="58" t="s">
        <v>3</v>
      </c>
      <c r="B50" s="59"/>
    </row>
    <row r="51" spans="1:101" x14ac:dyDescent="0.3">
      <c r="A51" s="58" t="s">
        <v>4</v>
      </c>
    </row>
    <row r="52" spans="1:101" x14ac:dyDescent="0.3">
      <c r="A52" s="58" t="s">
        <v>5</v>
      </c>
    </row>
    <row r="53" spans="1:101" x14ac:dyDescent="0.3">
      <c r="A53" s="58" t="s">
        <v>6</v>
      </c>
    </row>
    <row r="55" spans="1:101" x14ac:dyDescent="0.3">
      <c r="A55" s="17" t="s">
        <v>27</v>
      </c>
    </row>
    <row r="56" spans="1:101" s="3" customFormat="1" x14ac:dyDescent="0.3">
      <c r="A56" s="3" t="s">
        <v>28</v>
      </c>
      <c r="B56" s="60"/>
    </row>
    <row r="57" spans="1:101" x14ac:dyDescent="0.3">
      <c r="A57" t="s">
        <v>29</v>
      </c>
    </row>
    <row r="58" spans="1:101" x14ac:dyDescent="0.3">
      <c r="A58" t="s">
        <v>5</v>
      </c>
      <c r="B58" s="11">
        <v>0.1</v>
      </c>
    </row>
    <row r="59" spans="1:101" x14ac:dyDescent="0.3">
      <c r="A59" t="s">
        <v>30</v>
      </c>
    </row>
    <row r="60" spans="1:101" x14ac:dyDescent="0.3">
      <c r="A60" t="s">
        <v>31</v>
      </c>
    </row>
    <row r="63" spans="1:101" x14ac:dyDescent="0.3">
      <c r="A63" t="s">
        <v>32</v>
      </c>
    </row>
  </sheetData>
  <mergeCells count="4">
    <mergeCell ref="B27:M27"/>
    <mergeCell ref="N27:Y27"/>
    <mergeCell ref="G14:I15"/>
    <mergeCell ref="K14:K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9"/>
  <sheetViews>
    <sheetView zoomScale="90" zoomScaleNormal="90" workbookViewId="0">
      <selection activeCell="B2" sqref="B2"/>
    </sheetView>
  </sheetViews>
  <sheetFormatPr baseColWidth="10" defaultRowHeight="14.4" x14ac:dyDescent="0.3"/>
  <cols>
    <col min="1" max="1" width="29.33203125" customWidth="1"/>
    <col min="2" max="2" width="17.6640625" customWidth="1"/>
    <col min="3" max="3" width="16.33203125" customWidth="1"/>
    <col min="4" max="4" width="18.88671875" customWidth="1"/>
    <col min="5" max="5" width="10" bestFit="1" customWidth="1"/>
    <col min="6" max="6" width="8.33203125" bestFit="1" customWidth="1"/>
    <col min="7" max="7" width="5.88671875" bestFit="1" customWidth="1"/>
    <col min="8" max="8" width="6.44140625" bestFit="1" customWidth="1"/>
    <col min="9" max="9" width="6.5546875" bestFit="1" customWidth="1"/>
    <col min="10" max="10" width="5.88671875" bestFit="1" customWidth="1"/>
    <col min="11" max="11" width="7.88671875" bestFit="1" customWidth="1"/>
    <col min="12" max="12" width="12.33203125" bestFit="1" customWidth="1"/>
    <col min="13" max="13" width="9" bestFit="1" customWidth="1"/>
    <col min="14" max="14" width="11.5546875" bestFit="1" customWidth="1"/>
    <col min="15" max="15" width="11" customWidth="1"/>
    <col min="16" max="16" width="7" bestFit="1" customWidth="1"/>
    <col min="17" max="17" width="8.6640625" bestFit="1" customWidth="1"/>
    <col min="18" max="18" width="7.109375" bestFit="1" customWidth="1"/>
    <col min="19" max="21" width="6.5546875" bestFit="1" customWidth="1"/>
    <col min="22" max="22" width="6.33203125" bestFit="1" customWidth="1"/>
    <col min="23" max="23" width="7.88671875" bestFit="1" customWidth="1"/>
    <col min="24" max="24" width="12.33203125" bestFit="1" customWidth="1"/>
    <col min="25" max="25" width="9" bestFit="1" customWidth="1"/>
    <col min="26" max="26" width="11.5546875" bestFit="1" customWidth="1"/>
    <col min="27" max="27" width="11" customWidth="1"/>
    <col min="28" max="34" width="7.88671875" bestFit="1" customWidth="1"/>
  </cols>
  <sheetData>
    <row r="1" spans="1:4" x14ac:dyDescent="0.3">
      <c r="A1" s="14" t="s">
        <v>62</v>
      </c>
      <c r="B1" s="116" t="str">
        <f>+Antecedentes!B4</f>
        <v>7803.2 m²</v>
      </c>
      <c r="C1" s="14"/>
      <c r="D1" s="3"/>
    </row>
    <row r="2" spans="1:4" x14ac:dyDescent="0.3">
      <c r="A2" s="14" t="s">
        <v>68</v>
      </c>
      <c r="B2" s="115">
        <v>50.3</v>
      </c>
      <c r="C2" s="14" t="s">
        <v>35</v>
      </c>
      <c r="D2" s="3"/>
    </row>
    <row r="3" spans="1:4" x14ac:dyDescent="0.3">
      <c r="A3" t="s">
        <v>54</v>
      </c>
      <c r="B3" s="67">
        <f>+Antecedentes!B10+Antecedentes!B11</f>
        <v>97</v>
      </c>
      <c r="C3" t="s">
        <v>81</v>
      </c>
    </row>
    <row r="4" spans="1:4" x14ac:dyDescent="0.3">
      <c r="A4" s="15" t="s">
        <v>63</v>
      </c>
      <c r="B4" s="114">
        <v>2</v>
      </c>
      <c r="C4" s="16"/>
      <c r="D4" s="41"/>
    </row>
    <row r="5" spans="1:4" x14ac:dyDescent="0.3">
      <c r="A5" s="117"/>
      <c r="B5" s="118"/>
      <c r="C5" s="41"/>
      <c r="D5" s="61"/>
    </row>
    <row r="6" spans="1:4" x14ac:dyDescent="0.3">
      <c r="A6" s="39" t="s">
        <v>86</v>
      </c>
      <c r="B6" s="3"/>
      <c r="C6" s="39" t="s">
        <v>67</v>
      </c>
      <c r="D6" s="39" t="s">
        <v>80</v>
      </c>
    </row>
    <row r="7" spans="1:4" x14ac:dyDescent="0.3">
      <c r="A7" s="128" t="s">
        <v>64</v>
      </c>
      <c r="B7" s="129">
        <f>+Antecedentes!C12</f>
        <v>992000</v>
      </c>
      <c r="C7" s="128">
        <f>+Antecedentes!B11/2</f>
        <v>19</v>
      </c>
      <c r="D7" s="130">
        <f>+C7*B7</f>
        <v>18848000</v>
      </c>
    </row>
    <row r="8" spans="1:4" x14ac:dyDescent="0.3">
      <c r="A8" s="128" t="s">
        <v>65</v>
      </c>
      <c r="B8" s="129">
        <f>+Antecedentes!C11</f>
        <v>1131000</v>
      </c>
      <c r="C8" s="128">
        <f>+Antecedentes!B11/2</f>
        <v>19</v>
      </c>
      <c r="D8" s="130">
        <f t="shared" ref="D8:D9" si="0">+C8*B8</f>
        <v>21489000</v>
      </c>
    </row>
    <row r="9" spans="1:4" ht="15" thickBot="1" x14ac:dyDescent="0.35">
      <c r="A9" s="17" t="s">
        <v>66</v>
      </c>
      <c r="B9" s="69">
        <f>+Antecedentes!C10</f>
        <v>2206000</v>
      </c>
      <c r="C9" s="17">
        <f>+Antecedentes!B10</f>
        <v>59</v>
      </c>
      <c r="D9" s="132">
        <f t="shared" si="0"/>
        <v>130154000</v>
      </c>
    </row>
    <row r="10" spans="1:4" ht="15" thickTop="1" x14ac:dyDescent="0.3">
      <c r="A10" s="3"/>
      <c r="B10" s="102"/>
      <c r="C10" s="3"/>
      <c r="D10" s="131">
        <f>SUM(D7:D9)</f>
        <v>170491000</v>
      </c>
    </row>
    <row r="11" spans="1:4" x14ac:dyDescent="0.3">
      <c r="A11" s="3"/>
      <c r="B11" s="102"/>
      <c r="C11" s="3"/>
      <c r="D11" s="3"/>
    </row>
    <row r="12" spans="1:4" x14ac:dyDescent="0.3">
      <c r="A12" s="133" t="s">
        <v>0</v>
      </c>
      <c r="B12" s="18">
        <v>2020</v>
      </c>
      <c r="C12" s="19">
        <v>2021</v>
      </c>
      <c r="D12" s="18">
        <v>2022</v>
      </c>
    </row>
    <row r="13" spans="1:4" x14ac:dyDescent="0.3">
      <c r="B13" s="20">
        <v>0.04</v>
      </c>
      <c r="C13" s="20">
        <v>0.04</v>
      </c>
      <c r="D13" s="20">
        <v>0.04</v>
      </c>
    </row>
    <row r="14" spans="1:4" x14ac:dyDescent="0.3">
      <c r="C14" s="11"/>
      <c r="D14" s="11"/>
    </row>
    <row r="15" spans="1:4" x14ac:dyDescent="0.3">
      <c r="A15" s="42" t="s">
        <v>1</v>
      </c>
      <c r="B15" s="43">
        <v>1000000</v>
      </c>
      <c r="C15" s="11"/>
      <c r="D15" s="11"/>
    </row>
    <row r="16" spans="1:4" x14ac:dyDescent="0.3">
      <c r="B16" s="11"/>
      <c r="C16" s="11"/>
      <c r="D16" s="11"/>
    </row>
    <row r="18" spans="1:43" s="3" customFormat="1" ht="15" thickBot="1" x14ac:dyDescent="0.35">
      <c r="B18" s="21"/>
      <c r="C18" s="22"/>
      <c r="D18" s="22"/>
      <c r="P18" s="2"/>
      <c r="S18" s="23"/>
      <c r="W18" s="2"/>
      <c r="X18" s="2"/>
    </row>
    <row r="19" spans="1:43" ht="15" thickBot="1" x14ac:dyDescent="0.35">
      <c r="C19" s="24" t="s">
        <v>2</v>
      </c>
      <c r="D19" s="170">
        <v>2021</v>
      </c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2"/>
      <c r="P19" s="170">
        <v>2022</v>
      </c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2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</row>
    <row r="20" spans="1:43" ht="15" thickBot="1" x14ac:dyDescent="0.35">
      <c r="A20" s="27" t="s">
        <v>3</v>
      </c>
      <c r="B20" s="70">
        <f>+B2</f>
        <v>50.3</v>
      </c>
      <c r="C20" s="134">
        <f>+SUM(D24:AA24)</f>
        <v>3.4017292856616668</v>
      </c>
      <c r="D20" s="86" t="s">
        <v>17</v>
      </c>
      <c r="E20" s="62" t="s">
        <v>18</v>
      </c>
      <c r="F20" s="62" t="s">
        <v>19</v>
      </c>
      <c r="G20" s="62" t="s">
        <v>20</v>
      </c>
      <c r="H20" s="62" t="s">
        <v>21</v>
      </c>
      <c r="I20" s="62" t="s">
        <v>22</v>
      </c>
      <c r="J20" s="62" t="s">
        <v>23</v>
      </c>
      <c r="K20" s="62" t="s">
        <v>24</v>
      </c>
      <c r="L20" s="62" t="s">
        <v>13</v>
      </c>
      <c r="M20" s="62" t="s">
        <v>14</v>
      </c>
      <c r="N20" s="62" t="s">
        <v>15</v>
      </c>
      <c r="O20" s="62" t="s">
        <v>16</v>
      </c>
      <c r="P20" s="62" t="s">
        <v>17</v>
      </c>
      <c r="Q20" s="62" t="s">
        <v>18</v>
      </c>
      <c r="R20" s="62" t="s">
        <v>19</v>
      </c>
      <c r="S20" s="62" t="s">
        <v>20</v>
      </c>
      <c r="T20" s="62" t="s">
        <v>21</v>
      </c>
      <c r="U20" s="62" t="s">
        <v>22</v>
      </c>
      <c r="V20" s="62" t="s">
        <v>23</v>
      </c>
      <c r="W20" s="62" t="s">
        <v>24</v>
      </c>
      <c r="X20" s="62" t="s">
        <v>13</v>
      </c>
      <c r="Y20" s="62" t="s">
        <v>14</v>
      </c>
      <c r="Z20" s="62" t="s">
        <v>15</v>
      </c>
      <c r="AA20" s="83" t="s">
        <v>16</v>
      </c>
      <c r="AB20" s="29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</row>
    <row r="21" spans="1:43" ht="15" thickBot="1" x14ac:dyDescent="0.35">
      <c r="A21" s="31" t="s">
        <v>4</v>
      </c>
      <c r="B21" s="32"/>
      <c r="C21" s="32"/>
      <c r="D21" s="162">
        <v>0</v>
      </c>
      <c r="E21" s="36">
        <v>0</v>
      </c>
      <c r="F21" s="36">
        <f>+'Proyeccion dinero real'!D43</f>
        <v>-21.257211000000002</v>
      </c>
      <c r="G21" s="36">
        <v>0</v>
      </c>
      <c r="H21" s="36">
        <v>0</v>
      </c>
      <c r="I21" s="36">
        <v>0</v>
      </c>
      <c r="J21" s="36">
        <v>0</v>
      </c>
      <c r="K21" s="33">
        <f>+'Proyeccion dinero real'!I35+'Proyeccion dinero real'!I43</f>
        <v>-15.120829999999998</v>
      </c>
      <c r="L21" s="33">
        <f>+'Proyeccion dinero real'!J35</f>
        <v>4.5640600000000004</v>
      </c>
      <c r="M21" s="33">
        <f>+'Proyeccion dinero real'!K35</f>
        <v>4.6170040000000006</v>
      </c>
      <c r="N21" s="33">
        <f>+'Proyeccion dinero real'!L35</f>
        <v>4.6170040000000006</v>
      </c>
      <c r="O21" s="33">
        <f>+'Proyeccion dinero real'!M35</f>
        <v>4.6170040000000006</v>
      </c>
      <c r="P21" s="33">
        <f>+'Proyeccion dinero real'!N35+'Proyeccion dinero real'!N43</f>
        <v>-0.56312000000000051</v>
      </c>
      <c r="Q21" s="33">
        <f>+'Proyeccion dinero real'!O35</f>
        <v>4.6998019999999991</v>
      </c>
      <c r="R21" s="33">
        <f>+'Proyeccion dinero real'!P35+'Proyeccion dinero real'!P43</f>
        <v>-1.8401980000000009</v>
      </c>
      <c r="S21" s="33">
        <f>+'Proyeccion dinero real'!Q35</f>
        <v>4.7825999999999995</v>
      </c>
      <c r="T21" s="33">
        <f>+'Proyeccion dinero real'!R35</f>
        <v>3.9805000000000001</v>
      </c>
      <c r="U21" s="33">
        <f>+'Proyeccion dinero real'!S35</f>
        <v>2.1590910000000005</v>
      </c>
      <c r="V21" s="33">
        <f>+'Proyeccion dinero real'!T35</f>
        <v>2.1909360000000002</v>
      </c>
      <c r="W21" s="33">
        <f>+'Proyeccion dinero real'!U35</f>
        <v>2.1909360000000002</v>
      </c>
      <c r="X21" s="33">
        <f>+'Proyeccion dinero real'!V35</f>
        <v>2.1909360000000002</v>
      </c>
      <c r="Y21" s="33">
        <f>+'Proyeccion dinero real'!W35</f>
        <v>2.216412</v>
      </c>
      <c r="Z21" s="33">
        <f>+'Proyeccion dinero real'!X35</f>
        <v>2.216412</v>
      </c>
      <c r="AA21" s="33">
        <f>+'Proyeccion dinero real'!Y35</f>
        <v>0.73668100000000003</v>
      </c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</row>
    <row r="22" spans="1:43" ht="15" thickBot="1" x14ac:dyDescent="0.35">
      <c r="A22" s="31" t="s">
        <v>5</v>
      </c>
      <c r="B22" s="32"/>
      <c r="C22" s="32"/>
      <c r="D22" s="140">
        <f>0.1/12</f>
        <v>8.3333333333333332E-3</v>
      </c>
      <c r="E22" s="136">
        <f t="shared" ref="E22:AA22" si="1">0.1/12</f>
        <v>8.3333333333333332E-3</v>
      </c>
      <c r="F22" s="136">
        <f t="shared" si="1"/>
        <v>8.3333333333333332E-3</v>
      </c>
      <c r="G22" s="136">
        <f t="shared" si="1"/>
        <v>8.3333333333333332E-3</v>
      </c>
      <c r="H22" s="136">
        <f t="shared" si="1"/>
        <v>8.3333333333333332E-3</v>
      </c>
      <c r="I22" s="136">
        <f t="shared" si="1"/>
        <v>8.3333333333333332E-3</v>
      </c>
      <c r="J22" s="136">
        <f t="shared" si="1"/>
        <v>8.3333333333333332E-3</v>
      </c>
      <c r="K22" s="136">
        <f t="shared" si="1"/>
        <v>8.3333333333333332E-3</v>
      </c>
      <c r="L22" s="136">
        <f t="shared" si="1"/>
        <v>8.3333333333333332E-3</v>
      </c>
      <c r="M22" s="136">
        <f t="shared" si="1"/>
        <v>8.3333333333333332E-3</v>
      </c>
      <c r="N22" s="136">
        <f t="shared" si="1"/>
        <v>8.3333333333333332E-3</v>
      </c>
      <c r="O22" s="136">
        <f t="shared" si="1"/>
        <v>8.3333333333333332E-3</v>
      </c>
      <c r="P22" s="136">
        <f t="shared" si="1"/>
        <v>8.3333333333333332E-3</v>
      </c>
      <c r="Q22" s="136">
        <f t="shared" si="1"/>
        <v>8.3333333333333332E-3</v>
      </c>
      <c r="R22" s="136">
        <f t="shared" si="1"/>
        <v>8.3333333333333332E-3</v>
      </c>
      <c r="S22" s="136">
        <f t="shared" si="1"/>
        <v>8.3333333333333332E-3</v>
      </c>
      <c r="T22" s="136">
        <f t="shared" si="1"/>
        <v>8.3333333333333332E-3</v>
      </c>
      <c r="U22" s="136">
        <f t="shared" si="1"/>
        <v>8.3333333333333332E-3</v>
      </c>
      <c r="V22" s="136">
        <f t="shared" si="1"/>
        <v>8.3333333333333332E-3</v>
      </c>
      <c r="W22" s="136">
        <f t="shared" si="1"/>
        <v>8.3333333333333332E-3</v>
      </c>
      <c r="X22" s="136">
        <f t="shared" si="1"/>
        <v>8.3333333333333332E-3</v>
      </c>
      <c r="Y22" s="136">
        <f t="shared" si="1"/>
        <v>8.3333333333333332E-3</v>
      </c>
      <c r="Z22" s="136">
        <f t="shared" si="1"/>
        <v>8.3333333333333332E-3</v>
      </c>
      <c r="AA22" s="141">
        <f t="shared" si="1"/>
        <v>8.3333333333333332E-3</v>
      </c>
      <c r="AB22" s="35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</row>
    <row r="23" spans="1:43" ht="15" thickBot="1" x14ac:dyDescent="0.35">
      <c r="A23" s="31" t="s">
        <v>6</v>
      </c>
      <c r="B23" s="32"/>
      <c r="C23" s="32"/>
      <c r="D23" s="12">
        <v>1</v>
      </c>
      <c r="E23" s="28">
        <v>2</v>
      </c>
      <c r="F23" s="28">
        <v>3</v>
      </c>
      <c r="G23" s="28">
        <v>4</v>
      </c>
      <c r="H23" s="28">
        <v>5</v>
      </c>
      <c r="I23" s="28">
        <v>6</v>
      </c>
      <c r="J23" s="28">
        <v>7</v>
      </c>
      <c r="K23" s="28">
        <v>8</v>
      </c>
      <c r="L23" s="28">
        <v>9</v>
      </c>
      <c r="M23" s="28">
        <v>10</v>
      </c>
      <c r="N23" s="28">
        <v>11</v>
      </c>
      <c r="O23" s="28">
        <v>12</v>
      </c>
      <c r="P23" s="28">
        <v>13</v>
      </c>
      <c r="Q23" s="28">
        <v>14</v>
      </c>
      <c r="R23" s="28">
        <v>15</v>
      </c>
      <c r="S23" s="28">
        <v>16</v>
      </c>
      <c r="T23" s="28">
        <v>17</v>
      </c>
      <c r="U23" s="28">
        <v>18</v>
      </c>
      <c r="V23" s="28">
        <v>19</v>
      </c>
      <c r="W23" s="28">
        <v>20</v>
      </c>
      <c r="X23" s="28">
        <v>21</v>
      </c>
      <c r="Y23" s="28">
        <v>22</v>
      </c>
      <c r="Z23" s="28">
        <v>23</v>
      </c>
      <c r="AA23" s="75">
        <v>24</v>
      </c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</row>
    <row r="24" spans="1:43" ht="15" thickBot="1" x14ac:dyDescent="0.35">
      <c r="A24" s="31" t="s">
        <v>7</v>
      </c>
      <c r="B24" s="32"/>
      <c r="C24" s="135"/>
      <c r="D24" s="137">
        <f t="shared" ref="D24:G24" si="2">+D21/((1+D22)^D23)</f>
        <v>0</v>
      </c>
      <c r="E24" s="138">
        <f t="shared" si="2"/>
        <v>0</v>
      </c>
      <c r="F24" s="138">
        <f t="shared" si="2"/>
        <v>-20.734516399943331</v>
      </c>
      <c r="G24" s="138">
        <f t="shared" si="2"/>
        <v>0</v>
      </c>
      <c r="H24" s="138">
        <f>+H21/((1+H22)^H23)</f>
        <v>0</v>
      </c>
      <c r="I24" s="138">
        <f>+I21/((1+I22)^I23)</f>
        <v>0</v>
      </c>
      <c r="J24" s="138">
        <f t="shared" ref="J24:AA24" si="3">+J21/((1+J22)^J23)</f>
        <v>0</v>
      </c>
      <c r="K24" s="138">
        <f t="shared" si="3"/>
        <v>-14.149550275119367</v>
      </c>
      <c r="L24" s="138">
        <f t="shared" si="3"/>
        <v>4.2355930467169953</v>
      </c>
      <c r="M24" s="138">
        <f t="shared" si="3"/>
        <v>4.2493157999997075</v>
      </c>
      <c r="N24" s="138">
        <f t="shared" si="3"/>
        <v>4.2141974876030162</v>
      </c>
      <c r="O24" s="138">
        <f t="shared" si="3"/>
        <v>4.1793694091930735</v>
      </c>
      <c r="P24" s="138">
        <f t="shared" si="3"/>
        <v>-0.50553046955077885</v>
      </c>
      <c r="Q24" s="138">
        <f t="shared" si="3"/>
        <v>4.1842904382590147</v>
      </c>
      <c r="R24" s="138">
        <f t="shared" si="3"/>
        <v>-1.6248104004149417</v>
      </c>
      <c r="S24" s="138">
        <f t="shared" si="3"/>
        <v>4.1879170517706301</v>
      </c>
      <c r="T24" s="138">
        <f t="shared" si="3"/>
        <v>3.4567463718319815</v>
      </c>
      <c r="U24" s="138">
        <f t="shared" si="3"/>
        <v>1.8595022588104826</v>
      </c>
      <c r="V24" s="138">
        <f t="shared" si="3"/>
        <v>1.8713340950217392</v>
      </c>
      <c r="W24" s="138">
        <f t="shared" si="3"/>
        <v>1.855868523988502</v>
      </c>
      <c r="X24" s="138">
        <f t="shared" si="3"/>
        <v>1.8405307675919029</v>
      </c>
      <c r="Y24" s="138">
        <f t="shared" si="3"/>
        <v>1.8465444179953354</v>
      </c>
      <c r="Z24" s="138">
        <f t="shared" si="3"/>
        <v>1.8312837203259529</v>
      </c>
      <c r="AA24" s="139">
        <f t="shared" si="3"/>
        <v>0.60364344158174754</v>
      </c>
      <c r="AB24" s="88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</row>
    <row r="26" spans="1:43" x14ac:dyDescent="0.3">
      <c r="A26" s="37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43" ht="14.4" customHeight="1" x14ac:dyDescent="0.3">
      <c r="A27" s="38" t="s">
        <v>9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1:43" x14ac:dyDescent="0.3">
      <c r="A28" s="38" t="s">
        <v>10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1:43" x14ac:dyDescent="0.3">
      <c r="A29" s="38" t="s">
        <v>11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</row>
  </sheetData>
  <mergeCells count="2">
    <mergeCell ref="P19:AA19"/>
    <mergeCell ref="D19:O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27"/>
  <sheetViews>
    <sheetView zoomScaleNormal="100" workbookViewId="0">
      <selection activeCell="B1" sqref="B1"/>
    </sheetView>
  </sheetViews>
  <sheetFormatPr baseColWidth="10" defaultRowHeight="14.4" x14ac:dyDescent="0.3"/>
  <cols>
    <col min="1" max="1" width="20.109375" bestFit="1" customWidth="1"/>
    <col min="2" max="2" width="22.6640625" customWidth="1"/>
    <col min="3" max="3" width="15.6640625" bestFit="1" customWidth="1"/>
    <col min="4" max="4" width="13.44140625" bestFit="1" customWidth="1"/>
    <col min="5" max="5" width="7.6640625" bestFit="1" customWidth="1"/>
    <col min="6" max="6" width="7.44140625" bestFit="1" customWidth="1"/>
    <col min="7" max="7" width="5.109375" bestFit="1" customWidth="1"/>
    <col min="8" max="8" width="5.6640625" bestFit="1" customWidth="1"/>
    <col min="9" max="9" width="5.5546875" bestFit="1" customWidth="1"/>
    <col min="10" max="10" width="5.88671875" bestFit="1" customWidth="1"/>
    <col min="11" max="11" width="7.88671875" bestFit="1" customWidth="1"/>
    <col min="12" max="12" width="11.109375" bestFit="1" customWidth="1"/>
    <col min="13" max="13" width="7.88671875" bestFit="1" customWidth="1"/>
    <col min="14" max="14" width="10.6640625" bestFit="1" customWidth="1"/>
    <col min="15" max="15" width="9.88671875" bestFit="1" customWidth="1"/>
    <col min="16" max="16" width="6" bestFit="1" customWidth="1"/>
    <col min="17" max="17" width="7.6640625" bestFit="1" customWidth="1"/>
    <col min="18" max="18" width="6.33203125" bestFit="1" customWidth="1"/>
    <col min="19" max="22" width="6.44140625" bestFit="1" customWidth="1"/>
    <col min="23" max="23" width="7.88671875" bestFit="1" customWidth="1"/>
    <col min="24" max="24" width="12.44140625" bestFit="1" customWidth="1"/>
    <col min="25" max="25" width="8.6640625" bestFit="1" customWidth="1"/>
    <col min="26" max="26" width="11.6640625" bestFit="1" customWidth="1"/>
    <col min="27" max="27" width="11.33203125" bestFit="1" customWidth="1"/>
  </cols>
  <sheetData>
    <row r="1" spans="1:4" x14ac:dyDescent="0.3">
      <c r="A1" s="14" t="s">
        <v>62</v>
      </c>
      <c r="B1" s="116" t="str">
        <f>+Antecedentes!B4</f>
        <v>7803.2 m²</v>
      </c>
      <c r="C1" s="14"/>
      <c r="D1" s="3"/>
    </row>
    <row r="2" spans="1:4" x14ac:dyDescent="0.3">
      <c r="A2" s="14" t="s">
        <v>68</v>
      </c>
      <c r="B2" s="115">
        <v>50.3</v>
      </c>
      <c r="C2" s="14" t="s">
        <v>35</v>
      </c>
      <c r="D2" s="3"/>
    </row>
    <row r="3" spans="1:4" x14ac:dyDescent="0.3">
      <c r="A3" t="s">
        <v>54</v>
      </c>
      <c r="B3" s="67">
        <f>+Antecedentes!B10+Antecedentes!B11</f>
        <v>97</v>
      </c>
      <c r="C3" t="s">
        <v>81</v>
      </c>
    </row>
    <row r="4" spans="1:4" x14ac:dyDescent="0.3">
      <c r="A4" s="15" t="s">
        <v>63</v>
      </c>
      <c r="B4" s="114">
        <v>2</v>
      </c>
      <c r="C4" s="16"/>
      <c r="D4" s="41"/>
    </row>
    <row r="5" spans="1:4" x14ac:dyDescent="0.3">
      <c r="A5" s="117"/>
      <c r="B5" s="118"/>
      <c r="C5" s="41"/>
      <c r="D5" s="61"/>
    </row>
    <row r="6" spans="1:4" x14ac:dyDescent="0.3">
      <c r="A6" s="39" t="s">
        <v>86</v>
      </c>
      <c r="B6" s="3"/>
      <c r="C6" s="39" t="s">
        <v>67</v>
      </c>
      <c r="D6" s="39" t="s">
        <v>80</v>
      </c>
    </row>
    <row r="7" spans="1:4" x14ac:dyDescent="0.3">
      <c r="A7" s="128" t="s">
        <v>64</v>
      </c>
      <c r="B7" s="129">
        <f>+Antecedentes!C12</f>
        <v>992000</v>
      </c>
      <c r="C7" s="128">
        <f>+Antecedentes!B11/2</f>
        <v>19</v>
      </c>
      <c r="D7" s="130">
        <f>+C7*B7</f>
        <v>18848000</v>
      </c>
    </row>
    <row r="8" spans="1:4" x14ac:dyDescent="0.3">
      <c r="A8" s="128" t="s">
        <v>65</v>
      </c>
      <c r="B8" s="129">
        <f>+Antecedentes!C11</f>
        <v>1131000</v>
      </c>
      <c r="C8" s="128">
        <f>+Antecedentes!B11/2</f>
        <v>19</v>
      </c>
      <c r="D8" s="130">
        <f t="shared" ref="D8:D9" si="0">+C8*B8</f>
        <v>21489000</v>
      </c>
    </row>
    <row r="9" spans="1:4" ht="15" thickBot="1" x14ac:dyDescent="0.35">
      <c r="A9" s="17" t="s">
        <v>66</v>
      </c>
      <c r="B9" s="69">
        <f>+Antecedentes!C10</f>
        <v>2206000</v>
      </c>
      <c r="C9" s="17">
        <f>+Antecedentes!B10</f>
        <v>59</v>
      </c>
      <c r="D9" s="132">
        <f t="shared" si="0"/>
        <v>130154000</v>
      </c>
    </row>
    <row r="10" spans="1:4" ht="15" thickTop="1" x14ac:dyDescent="0.3">
      <c r="A10" s="3"/>
      <c r="B10" s="102"/>
      <c r="C10" s="3"/>
      <c r="D10" s="131">
        <f>SUM(D7:D9)</f>
        <v>170491000</v>
      </c>
    </row>
    <row r="11" spans="1:4" x14ac:dyDescent="0.3">
      <c r="A11" s="3"/>
      <c r="B11" s="102"/>
      <c r="C11" s="3"/>
      <c r="D11" s="3"/>
    </row>
    <row r="12" spans="1:4" x14ac:dyDescent="0.3">
      <c r="A12" s="133" t="s">
        <v>0</v>
      </c>
      <c r="B12" s="18">
        <v>2020</v>
      </c>
      <c r="C12" s="19">
        <v>2021</v>
      </c>
      <c r="D12" s="18">
        <v>2022</v>
      </c>
    </row>
    <row r="13" spans="1:4" x14ac:dyDescent="0.3">
      <c r="B13" s="20">
        <v>0.04</v>
      </c>
      <c r="C13" s="20">
        <v>0.04</v>
      </c>
      <c r="D13" s="20">
        <v>0.04</v>
      </c>
    </row>
    <row r="14" spans="1:4" x14ac:dyDescent="0.3">
      <c r="C14" s="11"/>
      <c r="D14" s="11"/>
    </row>
    <row r="15" spans="1:4" x14ac:dyDescent="0.3">
      <c r="A15" s="42" t="s">
        <v>1</v>
      </c>
      <c r="B15" s="43">
        <v>1000000</v>
      </c>
      <c r="C15" s="11"/>
      <c r="D15" s="11"/>
    </row>
    <row r="16" spans="1:4" ht="15" thickBot="1" x14ac:dyDescent="0.35"/>
    <row r="17" spans="1:44" x14ac:dyDescent="0.3">
      <c r="C17" s="72" t="s">
        <v>105</v>
      </c>
    </row>
    <row r="18" spans="1:44" ht="15" thickBot="1" x14ac:dyDescent="0.35">
      <c r="C18" s="87">
        <f>+C20*12</f>
        <v>0.21466513856031</v>
      </c>
    </row>
    <row r="19" spans="1:44" ht="15" thickBot="1" x14ac:dyDescent="0.35">
      <c r="C19" s="72" t="s">
        <v>106</v>
      </c>
      <c r="D19" s="170">
        <v>2021</v>
      </c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2"/>
      <c r="P19" s="170">
        <v>2022</v>
      </c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2"/>
      <c r="AB19" s="26"/>
      <c r="AC19" s="30"/>
      <c r="AD19" s="30"/>
      <c r="AE19" s="30"/>
      <c r="AF19" s="30"/>
      <c r="AG19" s="30"/>
      <c r="AH19" s="30"/>
      <c r="AI19" s="30"/>
      <c r="AJ19" s="26"/>
      <c r="AK19" s="26"/>
      <c r="AL19" s="26"/>
      <c r="AM19" s="26"/>
      <c r="AN19" s="26"/>
      <c r="AO19" s="26"/>
      <c r="AP19" s="26"/>
      <c r="AQ19" s="26"/>
      <c r="AR19" s="28"/>
    </row>
    <row r="20" spans="1:44" ht="15" thickBot="1" x14ac:dyDescent="0.35">
      <c r="A20" s="73" t="s">
        <v>3</v>
      </c>
      <c r="B20" s="74">
        <f>+VPN!B20</f>
        <v>50.3</v>
      </c>
      <c r="C20" s="87">
        <f>IRR(D21:AA21)</f>
        <v>1.78887615466925E-2</v>
      </c>
      <c r="D20" s="86" t="s">
        <v>17</v>
      </c>
      <c r="E20" s="62" t="s">
        <v>18</v>
      </c>
      <c r="F20" s="62" t="s">
        <v>19</v>
      </c>
      <c r="G20" s="62" t="s">
        <v>20</v>
      </c>
      <c r="H20" s="62" t="s">
        <v>21</v>
      </c>
      <c r="I20" s="62" t="s">
        <v>22</v>
      </c>
      <c r="J20" s="62" t="s">
        <v>23</v>
      </c>
      <c r="K20" s="62" t="s">
        <v>24</v>
      </c>
      <c r="L20" s="62" t="s">
        <v>13</v>
      </c>
      <c r="M20" s="62" t="s">
        <v>14</v>
      </c>
      <c r="N20" s="62" t="s">
        <v>15</v>
      </c>
      <c r="O20" s="62" t="s">
        <v>16</v>
      </c>
      <c r="P20" s="62" t="s">
        <v>17</v>
      </c>
      <c r="Q20" s="62" t="s">
        <v>18</v>
      </c>
      <c r="R20" s="62" t="s">
        <v>19</v>
      </c>
      <c r="S20" s="62" t="s">
        <v>20</v>
      </c>
      <c r="T20" s="62" t="s">
        <v>21</v>
      </c>
      <c r="U20" s="62" t="s">
        <v>22</v>
      </c>
      <c r="V20" s="62" t="s">
        <v>23</v>
      </c>
      <c r="W20" s="62" t="s">
        <v>24</v>
      </c>
      <c r="X20" s="62" t="s">
        <v>13</v>
      </c>
      <c r="Y20" s="62" t="s">
        <v>14</v>
      </c>
      <c r="Z20" s="62" t="s">
        <v>15</v>
      </c>
      <c r="AA20" s="83" t="s">
        <v>16</v>
      </c>
      <c r="AB20" s="28"/>
      <c r="AC20" s="46"/>
      <c r="AD20" s="46"/>
      <c r="AE20" s="46"/>
      <c r="AF20" s="46"/>
      <c r="AG20" s="46"/>
      <c r="AH20" s="46"/>
      <c r="AI20" s="46"/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5" thickBot="1" x14ac:dyDescent="0.35">
      <c r="A21" s="31" t="s">
        <v>4</v>
      </c>
      <c r="B21" s="32"/>
      <c r="C21" s="71"/>
      <c r="D21" s="142">
        <v>0</v>
      </c>
      <c r="E21" s="33">
        <v>0</v>
      </c>
      <c r="F21" s="33">
        <v>-21.26</v>
      </c>
      <c r="G21" s="33">
        <v>0</v>
      </c>
      <c r="H21" s="33">
        <f>+VPN!H21</f>
        <v>0</v>
      </c>
      <c r="I21" s="33">
        <f>+VPN!I21</f>
        <v>0</v>
      </c>
      <c r="J21" s="33">
        <f>+VPN!J21</f>
        <v>0</v>
      </c>
      <c r="K21" s="33">
        <f>+VPN!K21</f>
        <v>-15.120829999999998</v>
      </c>
      <c r="L21" s="33">
        <f>+VPN!L21</f>
        <v>4.5640600000000004</v>
      </c>
      <c r="M21" s="33">
        <f>+VPN!M21</f>
        <v>4.6170040000000006</v>
      </c>
      <c r="N21" s="33">
        <f>+VPN!N21</f>
        <v>4.6170040000000006</v>
      </c>
      <c r="O21" s="33">
        <f>+VPN!O21</f>
        <v>4.6170040000000006</v>
      </c>
      <c r="P21" s="33">
        <f>+VPN!P21</f>
        <v>-0.56312000000000051</v>
      </c>
      <c r="Q21" s="33">
        <f>+VPN!Q21</f>
        <v>4.6998019999999991</v>
      </c>
      <c r="R21" s="33">
        <f>+VPN!R21</f>
        <v>-1.8401980000000009</v>
      </c>
      <c r="S21" s="33">
        <f>+VPN!S21</f>
        <v>4.7825999999999995</v>
      </c>
      <c r="T21" s="33">
        <f>+VPN!T21</f>
        <v>3.9805000000000001</v>
      </c>
      <c r="U21" s="33">
        <f>+VPN!U21</f>
        <v>2.1590910000000005</v>
      </c>
      <c r="V21" s="33">
        <f>+VPN!V21</f>
        <v>2.1909360000000002</v>
      </c>
      <c r="W21" s="33">
        <f>+VPN!W21</f>
        <v>2.1909360000000002</v>
      </c>
      <c r="X21" s="33">
        <f>+VPN!X21</f>
        <v>2.1909360000000002</v>
      </c>
      <c r="Y21" s="33">
        <f>+VPN!Y21</f>
        <v>2.216412</v>
      </c>
      <c r="Z21" s="33">
        <f>+VPN!Z21</f>
        <v>2.216412</v>
      </c>
      <c r="AA21" s="76">
        <f>+VPN!AA21</f>
        <v>0.73668100000000003</v>
      </c>
      <c r="AB21" s="33"/>
      <c r="AC21" s="53"/>
      <c r="AD21" s="53"/>
      <c r="AE21" s="53"/>
      <c r="AF21" s="53"/>
      <c r="AG21" s="53"/>
      <c r="AH21" s="53"/>
      <c r="AI21" s="53"/>
      <c r="AJ21" s="33"/>
      <c r="AK21" s="33"/>
      <c r="AL21" s="33"/>
      <c r="AM21" s="33"/>
      <c r="AN21" s="33"/>
      <c r="AO21" s="33"/>
      <c r="AP21" s="33"/>
      <c r="AQ21" s="33"/>
      <c r="AR21" s="28"/>
    </row>
    <row r="22" spans="1:44" ht="15" thickBot="1" x14ac:dyDescent="0.35">
      <c r="A22" s="31" t="s">
        <v>6</v>
      </c>
      <c r="B22" s="32"/>
      <c r="C22" s="32"/>
      <c r="D22" s="13">
        <v>0</v>
      </c>
      <c r="E22" s="65">
        <v>1</v>
      </c>
      <c r="F22" s="65">
        <v>2</v>
      </c>
      <c r="G22" s="65">
        <v>3</v>
      </c>
      <c r="H22" s="65">
        <v>4</v>
      </c>
      <c r="I22" s="65">
        <v>5</v>
      </c>
      <c r="J22" s="65">
        <v>6</v>
      </c>
      <c r="K22" s="65">
        <v>7</v>
      </c>
      <c r="L22" s="65">
        <v>8</v>
      </c>
      <c r="M22" s="65">
        <v>9</v>
      </c>
      <c r="N22" s="65">
        <v>10</v>
      </c>
      <c r="O22" s="65">
        <v>11</v>
      </c>
      <c r="P22" s="65">
        <v>12</v>
      </c>
      <c r="Q22" s="65">
        <v>13</v>
      </c>
      <c r="R22" s="65">
        <v>14</v>
      </c>
      <c r="S22" s="65">
        <v>15</v>
      </c>
      <c r="T22" s="65">
        <v>16</v>
      </c>
      <c r="U22" s="65">
        <v>17</v>
      </c>
      <c r="V22" s="65">
        <v>18</v>
      </c>
      <c r="W22" s="65">
        <v>19</v>
      </c>
      <c r="X22" s="65">
        <v>20</v>
      </c>
      <c r="Y22" s="65">
        <v>21</v>
      </c>
      <c r="Z22" s="65">
        <v>22</v>
      </c>
      <c r="AA22" s="77">
        <v>23</v>
      </c>
      <c r="AB22" s="28"/>
      <c r="AC22" s="46"/>
      <c r="AD22" s="46"/>
      <c r="AE22" s="46"/>
      <c r="AF22" s="46"/>
      <c r="AG22" s="46"/>
      <c r="AH22" s="46"/>
      <c r="AI22" s="46"/>
      <c r="AJ22" s="28"/>
      <c r="AK22" s="28"/>
      <c r="AL22" s="28"/>
      <c r="AM22" s="28"/>
      <c r="AN22" s="28"/>
      <c r="AO22" s="28"/>
      <c r="AP22" s="28"/>
      <c r="AQ22" s="28"/>
      <c r="AR22" s="28"/>
    </row>
    <row r="23" spans="1:44" x14ac:dyDescent="0.3">
      <c r="C23">
        <f>+C20*12</f>
        <v>0.21466513856031</v>
      </c>
      <c r="D23" s="28"/>
      <c r="E23" s="28"/>
      <c r="F23" s="28"/>
      <c r="G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44" x14ac:dyDescent="0.3">
      <c r="A24" s="6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44" x14ac:dyDescent="0.3">
      <c r="A25" s="4"/>
    </row>
    <row r="26" spans="1:44" x14ac:dyDescent="0.3">
      <c r="A26" s="57"/>
    </row>
    <row r="27" spans="1:44" x14ac:dyDescent="0.3">
      <c r="C27" s="164"/>
    </row>
  </sheetData>
  <mergeCells count="2">
    <mergeCell ref="D19:O19"/>
    <mergeCell ref="P19:AA1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5"/>
  <sheetViews>
    <sheetView workbookViewId="0">
      <selection activeCell="A15" sqref="A15"/>
    </sheetView>
  </sheetViews>
  <sheetFormatPr baseColWidth="10" defaultRowHeight="14.4" x14ac:dyDescent="0.3"/>
  <cols>
    <col min="1" max="1" width="29.6640625" customWidth="1"/>
    <col min="2" max="2" width="24.6640625" customWidth="1"/>
    <col min="3" max="3" width="24.33203125" customWidth="1"/>
  </cols>
  <sheetData>
    <row r="1" spans="1:3" ht="15" thickBot="1" x14ac:dyDescent="0.35"/>
    <row r="2" spans="1:3" ht="21" customHeight="1" x14ac:dyDescent="0.3">
      <c r="A2" s="173" t="s">
        <v>33</v>
      </c>
      <c r="B2" s="174"/>
      <c r="C2" s="175"/>
    </row>
    <row r="3" spans="1:3" ht="15" thickBot="1" x14ac:dyDescent="0.35">
      <c r="A3" s="176"/>
      <c r="B3" s="177"/>
      <c r="C3" s="178"/>
    </row>
    <row r="4" spans="1:3" ht="15.6" x14ac:dyDescent="0.3">
      <c r="A4" s="80"/>
      <c r="B4" s="84" t="s">
        <v>34</v>
      </c>
      <c r="C4" s="85" t="s">
        <v>35</v>
      </c>
    </row>
    <row r="5" spans="1:3" ht="15.6" x14ac:dyDescent="0.3">
      <c r="A5" s="78" t="s">
        <v>27</v>
      </c>
      <c r="B5" s="79"/>
      <c r="C5" s="81">
        <f>+VPN!C20</f>
        <v>3.4017292856616668</v>
      </c>
    </row>
    <row r="6" spans="1:3" ht="16.2" thickBot="1" x14ac:dyDescent="0.35">
      <c r="A6" s="143" t="s">
        <v>44</v>
      </c>
      <c r="B6" s="144">
        <f>+TIR!C18</f>
        <v>0.21466513856031</v>
      </c>
      <c r="C6" s="163"/>
    </row>
    <row r="8" spans="1:3" ht="15.6" x14ac:dyDescent="0.3">
      <c r="A8" s="82" t="s">
        <v>36</v>
      </c>
    </row>
    <row r="10" spans="1:3" ht="15.6" x14ac:dyDescent="0.3">
      <c r="A10" s="82" t="s">
        <v>38</v>
      </c>
    </row>
    <row r="11" spans="1:3" ht="15.6" x14ac:dyDescent="0.3">
      <c r="A11" s="82" t="s">
        <v>39</v>
      </c>
    </row>
    <row r="12" spans="1:3" ht="15.6" x14ac:dyDescent="0.3">
      <c r="A12" s="82" t="s">
        <v>40</v>
      </c>
    </row>
    <row r="13" spans="1:3" ht="15.6" x14ac:dyDescent="0.3">
      <c r="A13" s="82" t="s">
        <v>41</v>
      </c>
    </row>
    <row r="14" spans="1:3" ht="15.6" x14ac:dyDescent="0.3">
      <c r="A14" s="82" t="s">
        <v>42</v>
      </c>
    </row>
    <row r="15" spans="1:3" x14ac:dyDescent="0.3">
      <c r="A15" s="38" t="s">
        <v>37</v>
      </c>
      <c r="B15" s="38"/>
    </row>
  </sheetData>
  <mergeCells count="1">
    <mergeCell ref="A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Antecedentes</vt:lpstr>
      <vt:lpstr>Proyeccion dinero real</vt:lpstr>
      <vt:lpstr>VPN</vt:lpstr>
      <vt:lpstr>TIR</vt:lpstr>
      <vt:lpstr>Concentrado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Galvan Godoy, Camilo</dc:creator>
  <cp:lastModifiedBy>Rodrigo Tostado</cp:lastModifiedBy>
  <dcterms:created xsi:type="dcterms:W3CDTF">2020-10-29T19:18:10Z</dcterms:created>
  <dcterms:modified xsi:type="dcterms:W3CDTF">2021-08-09T22:32:21Z</dcterms:modified>
</cp:coreProperties>
</file>